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9" activeTab="0"/>
  </bookViews>
  <sheets>
    <sheet name="EUeR" sheetId="1" r:id="rId1"/>
    <sheet name="C_Impressum" sheetId="2" r:id="rId2"/>
    <sheet name="BH_Erloese_EUeR" sheetId="3" r:id="rId3"/>
    <sheet name="BH_Aufwand_EUeR" sheetId="4" r:id="rId4"/>
    <sheet name="BH_Umsatz" sheetId="5" r:id="rId5"/>
    <sheet name="Steuer" sheetId="6" r:id="rId6"/>
    <sheet name="Kunden" sheetId="7" r:id="rId7"/>
    <sheet name="Waren" sheetId="8" r:id="rId8"/>
    <sheet name="EinAusg" sheetId="9" r:id="rId9"/>
    <sheet name="Gutschein" sheetId="10" r:id="rId10"/>
    <sheet name="BH_Aufwand_alt" sheetId="11" r:id="rId11"/>
    <sheet name="Tabelle13" sheetId="12" r:id="rId12"/>
    <sheet name="Tabelle14" sheetId="13" r:id="rId13"/>
    <sheet name="Tabelle15" sheetId="14" r:id="rId14"/>
    <sheet name="Tabelle16" sheetId="15" r:id="rId15"/>
  </sheets>
  <definedNames>
    <definedName name="_xlnm.Print_Area" localSheetId="2">'BH_Erloese_EUeR'!$A$1:$L$200</definedName>
    <definedName name="_xlnm.Print_Titles" localSheetId="2">('BH_Erloese_EUeR'!$A:$L,'BH_Erloese_EUeR'!$1:$10)</definedName>
    <definedName name="Excel_BuiltIn_Print_Area_1_1">'BH_Erloese_EUeR'!$A$1:$L$316</definedName>
    <definedName name="Excel_BuiltIn_Print_Titles_1_1">"$#REF!.$B$1:$B$1"</definedName>
    <definedName name="__Anonymous_Sheet_DB__1">'Kunden'!$B$9:$AG$19</definedName>
    <definedName name="Kopf">'Kunden'!$B$1:$IV$10</definedName>
  </definedNames>
  <calcPr fullCalcOnLoad="1"/>
</workbook>
</file>

<file path=xl/sharedStrings.xml><?xml version="1.0" encoding="utf-8"?>
<sst xmlns="http://schemas.openxmlformats.org/spreadsheetml/2006/main" count="1591" uniqueCount="537">
  <si>
    <t xml:space="preserve">EÜR </t>
  </si>
  <si>
    <t>Armin Fischer Dienstleistungen //</t>
  </si>
  <si>
    <t>Computerservice.arminfischer.com</t>
  </si>
  <si>
    <t>vom</t>
  </si>
  <si>
    <t>Monat</t>
  </si>
  <si>
    <t>Zeile EÜR</t>
  </si>
  <si>
    <t xml:space="preserve">Bezeichnung </t>
  </si>
  <si>
    <t>Summe Jahr</t>
  </si>
  <si>
    <t>Betriebseinnahmen</t>
  </si>
  <si>
    <t>Umsatzsteuerpflichtige Betriebseinnahmen</t>
  </si>
  <si>
    <t xml:space="preserve">Ust-frei / §13b UStG Leistungsempfänger </t>
  </si>
  <si>
    <t>Umsatzsteuer</t>
  </si>
  <si>
    <t xml:space="preserve">Ust. Steuererstattung </t>
  </si>
  <si>
    <t xml:space="preserve">Entnahme von Anlagevermögen </t>
  </si>
  <si>
    <t>Sach- Nutzungs- Leistungsentnahmen</t>
  </si>
  <si>
    <t>Summe Betriebseinnahmen</t>
  </si>
  <si>
    <t>Summe Betriebsausgaben</t>
  </si>
  <si>
    <t>Waren</t>
  </si>
  <si>
    <t>Bezogene Fremdleistungen</t>
  </si>
  <si>
    <t xml:space="preserve">Personal </t>
  </si>
  <si>
    <t>AfA unbewegl. Güter</t>
  </si>
  <si>
    <t>AfA immat. Güter</t>
  </si>
  <si>
    <t xml:space="preserve">AfA bewegl. Güter </t>
  </si>
  <si>
    <t>Miete Buero,...</t>
  </si>
  <si>
    <t>Telekommunikation</t>
  </si>
  <si>
    <t>Beiträge, Gebühren u. Versicherungen</t>
  </si>
  <si>
    <t>Werbekosten</t>
  </si>
  <si>
    <t>Gezahlte Vorsteuerbeträge</t>
  </si>
  <si>
    <t>An Finanzamt gezahlte Ust.</t>
  </si>
  <si>
    <t>Rücklagen</t>
  </si>
  <si>
    <t>weitere unbeschr. Abziehb. Betriebsausgaben</t>
  </si>
  <si>
    <t>Fahrkosten privater PKW</t>
  </si>
  <si>
    <t>AFDBH</t>
  </si>
  <si>
    <t xml:space="preserve">Armin Fischer Dienstleistungen // Computerservice.arminfischer.com Buchhaltungsvorlage für einfache Buchführung </t>
  </si>
  <si>
    <t xml:space="preserve">kostenlos zur Verfügung gestellt. </t>
  </si>
  <si>
    <t xml:space="preserve">Verbesserungsvorschläge jederzeit willkomen </t>
  </si>
  <si>
    <t xml:space="preserve">FREEWARE unter GNU Lizenz </t>
  </si>
  <si>
    <t xml:space="preserve">Nutzung auf eigenes Risiko. Keine Haftung für Formelfehler </t>
  </si>
  <si>
    <t xml:space="preserve">Armin Fischer Services // Computerservice.arminfischer.com Accounting template for simple bookkeeping </t>
  </si>
  <si>
    <t>made available free of charge.</t>
  </si>
  <si>
    <t>Suggestions for improvement always welcome</t>
  </si>
  <si>
    <t>FREEWARE under GNU license</t>
  </si>
  <si>
    <t>Use at your own risk. No liability for formula errors</t>
  </si>
  <si>
    <t xml:space="preserve">Computerservice.arminfischer.com </t>
  </si>
  <si>
    <r>
      <t>office@arminfischer.com</t>
    </r>
    <r>
      <rPr>
        <b/>
        <sz val="10"/>
        <rFont val="Arial"/>
        <family val="2"/>
      </rPr>
      <t xml:space="preserve"> </t>
    </r>
  </si>
  <si>
    <r>
      <t>http://Computerservice.arminfischer.com</t>
    </r>
    <r>
      <rPr>
        <b/>
        <sz val="10"/>
        <rFont val="Arial"/>
        <family val="2"/>
      </rPr>
      <t xml:space="preserve"> </t>
    </r>
  </si>
  <si>
    <t xml:space="preserve">Computerservice.arminfischer.com Buchhaltung AFDBH </t>
  </si>
  <si>
    <t>Computerservice.arminfischer.com Accounting AFDBH</t>
  </si>
  <si>
    <t>FREEWARE unter GNU Lizenz solange Footer erhalten bleibt</t>
  </si>
  <si>
    <t>FREEWARE under GNU license as long as footer is preserved</t>
  </si>
  <si>
    <t xml:space="preserve">Wir freuen uns über Spenden für dieses Projekt! </t>
  </si>
  <si>
    <t>We are happy to receive donations for this project!</t>
  </si>
  <si>
    <t>PayPal</t>
  </si>
  <si>
    <t xml:space="preserve">Computerservice.arminfischer.com TrustWallet </t>
  </si>
  <si>
    <t>Bitcoin</t>
  </si>
  <si>
    <t>bc1qkt7t4v0wm40w7x0r42q5a0rlrnscgkc85resrr</t>
  </si>
  <si>
    <r>
      <t>Tether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USDT ERC20</t>
    </r>
  </si>
  <si>
    <t>0x12F28bdAA3DFA13494B3F3E71a710833A4C9b333</t>
  </si>
  <si>
    <t>Ethereum</t>
  </si>
  <si>
    <t xml:space="preserve">Computerservice.arminfischer.com Coinbase.com </t>
  </si>
  <si>
    <r>
      <t xml:space="preserve">Coinbase.com : </t>
    </r>
    <r>
      <rPr>
        <b/>
        <sz val="10"/>
        <color indexed="12"/>
        <rFont val="Arial"/>
        <family val="2"/>
      </rPr>
      <t>office@arminfischer.com</t>
    </r>
  </si>
  <si>
    <t>37j89YXSDExeEmYEUGEBqS3sDQd6YABsyH</t>
  </si>
  <si>
    <t xml:space="preserve">Tether USDT ERC20 </t>
  </si>
  <si>
    <t>0x275606D55225256FdCD5259e3B424f30dD3978Ed</t>
  </si>
  <si>
    <t>0x72989F8C29b1003c0F18919c36D381c9a0f8b620</t>
  </si>
  <si>
    <t xml:space="preserve">-- </t>
  </si>
  <si>
    <t>---</t>
  </si>
  <si>
    <t>.</t>
  </si>
  <si>
    <t xml:space="preserve">Armin Fischer </t>
  </si>
  <si>
    <t xml:space="preserve">Computer, Handy, Telefon oder Router streikt? AKUT-FERNWARTUNG für Privatleute und kleinere Unternehmen. </t>
  </si>
  <si>
    <t xml:space="preserve">helpdeskfurdiepflege.arminfischer.com </t>
  </si>
  <si>
    <t xml:space="preserve">Computerservice Gemeinde Memmelsdorf Landkreis Bamberg </t>
  </si>
  <si>
    <t xml:space="preserve">. </t>
  </si>
  <si>
    <t xml:space="preserve">office@arminfischer.com  </t>
  </si>
  <si>
    <t xml:space="preserve">+4917621008967 </t>
  </si>
  <si>
    <t xml:space="preserve">c/o Armin Fischer </t>
  </si>
  <si>
    <t xml:space="preserve">Hauptstr. 70 </t>
  </si>
  <si>
    <t xml:space="preserve">DE- 96117 Memmelsdorf  </t>
  </si>
  <si>
    <t xml:space="preserve">Ust.ID/ VAT ID: DE232723558 </t>
  </si>
  <si>
    <t xml:space="preserve">#Termin  </t>
  </si>
  <si>
    <r>
      <t>http://kalender.arminfischer.com</t>
    </r>
    <r>
      <rPr>
        <b/>
        <sz val="10"/>
        <rFont val="Arial"/>
        <family val="2"/>
      </rPr>
      <t xml:space="preserve">  </t>
    </r>
  </si>
  <si>
    <r>
      <t>http://calendly.com/arminfischercom/30min/</t>
    </r>
    <r>
      <rPr>
        <b/>
        <sz val="10"/>
        <rFont val="Arial"/>
        <family val="2"/>
      </rPr>
      <t xml:space="preserve">  </t>
    </r>
  </si>
  <si>
    <t>#Chat</t>
  </si>
  <si>
    <r>
      <t>http://Computerservice.arminfischer.com/chatus/</t>
    </r>
    <r>
      <rPr>
        <b/>
        <sz val="10"/>
        <rFont val="Arial"/>
        <family val="2"/>
      </rPr>
      <t xml:space="preserve">  </t>
    </r>
  </si>
  <si>
    <r>
      <t>http://news.computerservice.arminfischer.com</t>
    </r>
    <r>
      <rPr>
        <b/>
        <sz val="10"/>
        <rFont val="Arial"/>
        <family val="2"/>
      </rPr>
      <t xml:space="preserve">  </t>
    </r>
  </si>
  <si>
    <r>
      <t>http://Computerservice.arminfischer.com</t>
    </r>
    <r>
      <rPr>
        <b/>
        <sz val="10"/>
        <rFont val="Arial"/>
        <family val="2"/>
      </rPr>
      <t xml:space="preserve">  </t>
    </r>
  </si>
  <si>
    <r>
      <t>http://linktr.ee/Computerservicearminfischercom/</t>
    </r>
    <r>
      <rPr>
        <b/>
        <sz val="10"/>
        <rFont val="Arial"/>
        <family val="2"/>
      </rPr>
      <t xml:space="preserve"> </t>
    </r>
  </si>
  <si>
    <t xml:space="preserve">Armin Fischer Dienstleistungen </t>
  </si>
  <si>
    <t xml:space="preserve">Buchhaltung  </t>
  </si>
  <si>
    <t>Erloese</t>
  </si>
  <si>
    <t>Datum</t>
  </si>
  <si>
    <t>Belegart</t>
  </si>
  <si>
    <t>Nr.</t>
  </si>
  <si>
    <t>EÜR Zeile</t>
  </si>
  <si>
    <t>Aufwandsart</t>
  </si>
  <si>
    <t>Kdnr.</t>
  </si>
  <si>
    <t>Buchungstext</t>
  </si>
  <si>
    <t>Netto</t>
  </si>
  <si>
    <t>USt.</t>
  </si>
  <si>
    <t>Brutto</t>
  </si>
  <si>
    <t>Ust%</t>
  </si>
  <si>
    <t>unbezahlt</t>
  </si>
  <si>
    <t>Bezirk</t>
  </si>
  <si>
    <t xml:space="preserve">Rechnungen armindesk . OpenOffice. </t>
  </si>
  <si>
    <t>R</t>
  </si>
  <si>
    <t xml:space="preserve">R </t>
  </si>
  <si>
    <t>Summe</t>
  </si>
  <si>
    <t xml:space="preserve">Rechnungen sevdesk.de </t>
  </si>
  <si>
    <t>Rechnung</t>
  </si>
  <si>
    <t>Privatentahmen</t>
  </si>
  <si>
    <t>Q</t>
  </si>
  <si>
    <t>E</t>
  </si>
  <si>
    <t>iZettle</t>
  </si>
  <si>
    <t>Quittung 0 -99</t>
  </si>
  <si>
    <t>Quittung 100 – 199</t>
  </si>
  <si>
    <t xml:space="preserve">Legende :  R = Rechnung armindesk OpenOffice  - Rahmen  Nr. 0  -  299,   R = Rechnung sevdesk.de  - Rahmen  Nr. 300  -  599 , </t>
  </si>
  <si>
    <t xml:space="preserve"> E = sonst. Einnahme -  Rahmen Nr. 2000 - 2099 , Q=Quittung 2100-2999 , Gweb BonDrucker 01   Rahmen Nr. 2100 – 2199 , A = Ausgabe - Rahmen Nr. 3000 - 3999</t>
  </si>
  <si>
    <t>Buchhaltung</t>
  </si>
  <si>
    <t>Aufwand</t>
  </si>
  <si>
    <t>VSt.</t>
  </si>
  <si>
    <t>A</t>
  </si>
  <si>
    <t xml:space="preserve"> </t>
  </si>
  <si>
    <t>Legende :  R = Rechnung - Rahmen  Nr. 0  - 1999  , E = sonst. Einnahme -  Rahmen Nr. 2000 - 2999 , A = Ausgabe - Rahmen Nr. 3000 - 3999</t>
  </si>
  <si>
    <t xml:space="preserve">  </t>
  </si>
  <si>
    <t>Umsatzrechner</t>
  </si>
  <si>
    <t>zum:</t>
  </si>
  <si>
    <t>Ust.</t>
  </si>
  <si>
    <t>Einnahmen</t>
  </si>
  <si>
    <t>Einnahmen sevdesk</t>
  </si>
  <si>
    <t>Gweb BonDrucker 01</t>
  </si>
  <si>
    <t>Einnahmen Summe</t>
  </si>
  <si>
    <t>Betriebsergebnis</t>
  </si>
  <si>
    <t>Steuerbarometer</t>
  </si>
  <si>
    <t xml:space="preserve">Umsatzsteuer </t>
  </si>
  <si>
    <t>Einkommenssteuer</t>
  </si>
  <si>
    <t>%</t>
  </si>
  <si>
    <t>aus</t>
  </si>
  <si>
    <t>Summe Einbehalt</t>
  </si>
  <si>
    <t>Kunden</t>
  </si>
  <si>
    <t>loeschen</t>
  </si>
  <si>
    <t>ClientNr.</t>
  </si>
  <si>
    <t>Name</t>
  </si>
  <si>
    <t>Strasse</t>
  </si>
  <si>
    <t>Land</t>
  </si>
  <si>
    <t>PLZ</t>
  </si>
  <si>
    <t>Stadt</t>
  </si>
  <si>
    <t>Tel.</t>
  </si>
  <si>
    <t>Mobil</t>
  </si>
  <si>
    <t>Mobil2</t>
  </si>
  <si>
    <t>email</t>
  </si>
  <si>
    <t>www</t>
  </si>
  <si>
    <t>Fax</t>
  </si>
  <si>
    <t>Strasse Privat</t>
  </si>
  <si>
    <t>Land privat</t>
  </si>
  <si>
    <t>PLZ privat</t>
  </si>
  <si>
    <t>Ort privat</t>
  </si>
  <si>
    <t>Tel. privat</t>
  </si>
  <si>
    <t>Mobil privat</t>
  </si>
  <si>
    <t>e-mail privat</t>
  </si>
  <si>
    <t>erweiterter Firmenname</t>
  </si>
  <si>
    <t xml:space="preserve">Abeit </t>
  </si>
  <si>
    <t xml:space="preserve">Strasse Arbeit </t>
  </si>
  <si>
    <t>Land Arbeit</t>
  </si>
  <si>
    <t>PLZ Arbeit</t>
  </si>
  <si>
    <t xml:space="preserve">Ort Arbeit </t>
  </si>
  <si>
    <t xml:space="preserve">Tel Arbeit </t>
  </si>
  <si>
    <t>Fax Arbeit</t>
  </si>
  <si>
    <t xml:space="preserve">Mobil Arbeit </t>
  </si>
  <si>
    <t xml:space="preserve">E-mail Arbeit </t>
  </si>
  <si>
    <t xml:space="preserve">Martin Stangl </t>
  </si>
  <si>
    <t xml:space="preserve">Greiffenbergstr. 51 </t>
  </si>
  <si>
    <t>DE</t>
  </si>
  <si>
    <t>Bamberg</t>
  </si>
  <si>
    <t>martin.stangl@hotmail.de</t>
  </si>
  <si>
    <t>Ursula Burkart</t>
  </si>
  <si>
    <t>Im Suecklein 12</t>
  </si>
  <si>
    <t xml:space="preserve">Bamberg </t>
  </si>
  <si>
    <t>ursula-burkart@gmx.de</t>
  </si>
  <si>
    <t xml:space="preserve">Michaela Bleier </t>
  </si>
  <si>
    <t>Trautmannstr. 10</t>
  </si>
  <si>
    <t xml:space="preserve">DE </t>
  </si>
  <si>
    <t>Drosendorf</t>
  </si>
  <si>
    <t xml:space="preserve">michaelableier@gmx.de </t>
  </si>
  <si>
    <t xml:space="preserve">Rainer Zwirner </t>
  </si>
  <si>
    <t xml:space="preserve">Am Hohen Kreuz 7 </t>
  </si>
  <si>
    <t xml:space="preserve">Memmelsdorf </t>
  </si>
  <si>
    <t xml:space="preserve">ra.zwirner@web.de   </t>
  </si>
  <si>
    <t>Michaela Rauscher</t>
  </si>
  <si>
    <t xml:space="preserve">miraschen@web.de   </t>
  </si>
  <si>
    <t>Industrie - und Haushaltsservice Jens Burghardt</t>
  </si>
  <si>
    <t xml:space="preserve">Am Aischbach 8 </t>
  </si>
  <si>
    <t>Hallerndorf</t>
  </si>
  <si>
    <t xml:space="preserve">jensburghardt71@gmail.com    </t>
  </si>
  <si>
    <t xml:space="preserve">Jens Burghardt </t>
  </si>
  <si>
    <t>Gerd Schneider</t>
  </si>
  <si>
    <t>Am Rennsteig 23</t>
  </si>
  <si>
    <t>Memmelsdorf Lichteneiche</t>
  </si>
  <si>
    <t xml:space="preserve">schneider@memmelsdorf.de  </t>
  </si>
  <si>
    <t>Dipl.-Psych. Heidi Zorzi</t>
  </si>
  <si>
    <t>Schwarze-Baeren-Str.1</t>
  </si>
  <si>
    <t>Regensburg</t>
  </si>
  <si>
    <t xml:space="preserve">h.zorzi@gmx.de </t>
  </si>
  <si>
    <t>+4915111878539</t>
  </si>
  <si>
    <t xml:space="preserve">rimbach-zorzi@t-online.de    </t>
  </si>
  <si>
    <t xml:space="preserve">Alwin Reindl </t>
  </si>
  <si>
    <t>Am Weingarten 5</t>
  </si>
  <si>
    <t>Memmelsdorf</t>
  </si>
  <si>
    <t xml:space="preserve">alwin.reindl@t-online.de    </t>
  </si>
  <si>
    <t xml:space="preserve">Richard Martin </t>
  </si>
  <si>
    <t xml:space="preserve">Bambergerstr. 13 </t>
  </si>
  <si>
    <t xml:space="preserve">Breitenguessbach </t>
  </si>
  <si>
    <t xml:space="preserve">Georg Rauscher </t>
  </si>
  <si>
    <t xml:space="preserve">Poppenleiten 3 </t>
  </si>
  <si>
    <t>Burghaslach</t>
  </si>
  <si>
    <t>Diana Kahnert </t>
  </si>
  <si>
    <t xml:space="preserve">Hans-Sachs-Str. 3 </t>
  </si>
  <si>
    <t>Ebern</t>
  </si>
  <si>
    <t>dianakahnert@googlemail.com   </t>
  </si>
  <si>
    <t>Seniorenresidenz Schloss Gleusdorf</t>
  </si>
  <si>
    <t>Dorfstr. 2</t>
  </si>
  <si>
    <t>Untermerzbach Gleusdorf</t>
  </si>
  <si>
    <t>Ion Pagu</t>
  </si>
  <si>
    <t>Hirtenberg . 4a</t>
  </si>
  <si>
    <t>Untersiemau</t>
  </si>
  <si>
    <t xml:space="preserve">ionpagu@yahoo.com </t>
  </si>
  <si>
    <t xml:space="preserve">Ion Pagu </t>
  </si>
  <si>
    <t>COM. TARNOVA Nr. 318</t>
  </si>
  <si>
    <t>RO</t>
  </si>
  <si>
    <t>Caras-Severin</t>
  </si>
  <si>
    <t>Anika Schindler</t>
  </si>
  <si>
    <t>Jelena Divljak</t>
  </si>
  <si>
    <t xml:space="preserve">jelena.divljak01@gmail.com </t>
  </si>
  <si>
    <t>Janos Gaspar</t>
  </si>
  <si>
    <t xml:space="preserve"> jani.gaspar@gmail.com  </t>
  </si>
  <si>
    <t xml:space="preserve">Klaus Dieter Maeth </t>
  </si>
  <si>
    <t xml:space="preserve">kdgiring@gmx.net   </t>
  </si>
  <si>
    <t xml:space="preserve">Oswin Leim </t>
  </si>
  <si>
    <t>Hauptstr. 72</t>
  </si>
  <si>
    <t xml:space="preserve">osbale@web.de  </t>
  </si>
  <si>
    <t xml:space="preserve">Fewos-bamberg.de Holger u. Doris Hassfurther </t>
  </si>
  <si>
    <t>Hoher Rain 12</t>
  </si>
  <si>
    <t>Memmelsdorf – Weichendorf</t>
  </si>
  <si>
    <t xml:space="preserve">info@fewos-bamberg.de </t>
  </si>
  <si>
    <t>Dieter Hemmer</t>
  </si>
  <si>
    <t xml:space="preserve">Am Forst 4 </t>
  </si>
  <si>
    <t xml:space="preserve">Schesslitz – Stuebig </t>
  </si>
  <si>
    <t xml:space="preserve">hemmer.dieter@web.de </t>
  </si>
  <si>
    <t>Carola Ziegelhoefer</t>
  </si>
  <si>
    <t>Laimenstr. 6</t>
  </si>
  <si>
    <t>Memmelsdorf – Merkendorf</t>
  </si>
  <si>
    <t xml:space="preserve">c.ziegelhoefer@web.de </t>
  </si>
  <si>
    <t>Werner Pager</t>
  </si>
  <si>
    <t>Bahnhofstr. 30</t>
  </si>
  <si>
    <t>Pfarrweisach</t>
  </si>
  <si>
    <t xml:space="preserve">werner.pager@t-online.de </t>
  </si>
  <si>
    <t>Lutz Wendler</t>
  </si>
  <si>
    <t>Steinzeitweg 12</t>
  </si>
  <si>
    <t xml:space="preserve">Memmelsdorf – Merkendorf </t>
  </si>
  <si>
    <t xml:space="preserve">wendler.lutz@gmail.com </t>
  </si>
  <si>
    <t>Juergen Gerner</t>
  </si>
  <si>
    <t>Hauptstr. 82</t>
  </si>
  <si>
    <t xml:space="preserve">gerner.juergen@web.de </t>
  </si>
  <si>
    <t>Kersten Mueller</t>
  </si>
  <si>
    <t>Flockenstr. 12</t>
  </si>
  <si>
    <t xml:space="preserve">Lugau, Erzgebirge </t>
  </si>
  <si>
    <t xml:space="preserve">kersten.mueller.58@gmail.com </t>
  </si>
  <si>
    <t xml:space="preserve">Beate Dusold </t>
  </si>
  <si>
    <t>Industriering 9</t>
  </si>
  <si>
    <t>Breitenguessbach</t>
  </si>
  <si>
    <t xml:space="preserve">+499544984080  </t>
  </si>
  <si>
    <t>Beate.Dusold@gmx.de</t>
  </si>
  <si>
    <t>Gerhard Handschuh</t>
  </si>
  <si>
    <t xml:space="preserve">Baumfeldstr. 32 </t>
  </si>
  <si>
    <t xml:space="preserve">gerhard.handschuh@gmx.de   </t>
  </si>
  <si>
    <t>Siegfried Pomp</t>
  </si>
  <si>
    <t>Am Schelmaengerle 10</t>
  </si>
  <si>
    <t>Gundelsheim</t>
  </si>
  <si>
    <t xml:space="preserve">siegfied.pomp@t-online.de </t>
  </si>
  <si>
    <t xml:space="preserve">Krisztian Kozak </t>
  </si>
  <si>
    <t>Untere Weinbergsleithe 8</t>
  </si>
  <si>
    <t>Strullendorf – Amlingstadt</t>
  </si>
  <si>
    <t xml:space="preserve">kkozak@freemail.hu   </t>
  </si>
  <si>
    <t>Hans Juergen Schmitt</t>
  </si>
  <si>
    <r>
      <t>Pödeldorfer Str. 24</t>
    </r>
    <r>
      <rPr>
        <sz val="12"/>
        <rFont val="Times New Roman"/>
        <family val="1"/>
      </rPr>
      <t xml:space="preserve"> </t>
    </r>
  </si>
  <si>
    <t> +4915734556793</t>
  </si>
  <si>
    <t>jbs01@t-online.de</t>
  </si>
  <si>
    <t>Brigitte Dierig</t>
  </si>
  <si>
    <t>Am Schlossgraben 24</t>
  </si>
  <si>
    <t xml:space="preserve">brigitte.dierig@gmx.de </t>
  </si>
  <si>
    <t>Victoria Trenner</t>
  </si>
  <si>
    <t>Ferdinand-Dietz-Str. 16</t>
  </si>
  <si>
    <t xml:space="preserve">victoria.trenner@gmx.de   </t>
  </si>
  <si>
    <t>BETONTRENN Dumproff GmbH</t>
  </si>
  <si>
    <t>Leonhardstraße 21</t>
  </si>
  <si>
    <t xml:space="preserve">info@beton-trenn.de </t>
  </si>
  <si>
    <t>Martin Schwarz</t>
  </si>
  <si>
    <t>Stammbergstr. 5</t>
  </si>
  <si>
    <t>Litzendorf</t>
  </si>
  <si>
    <t xml:space="preserve">gbbarbara035@gmail.com </t>
  </si>
  <si>
    <t xml:space="preserve">Schneckenhof Bamberg </t>
  </si>
  <si>
    <t xml:space="preserve">In der Südflur  </t>
  </si>
  <si>
    <t>kerstin.deuber@schneckenhof-bamberg.de</t>
  </si>
  <si>
    <t>Thomas Deuber</t>
  </si>
  <si>
    <t xml:space="preserve">Gereuthstr. 18a  </t>
  </si>
  <si>
    <t>amy.deuber@gmx.de</t>
  </si>
  <si>
    <t>Gilbert Diller</t>
  </si>
  <si>
    <t>Schranne 5</t>
  </si>
  <si>
    <t xml:space="preserve">gilbert.diller@web.de </t>
  </si>
  <si>
    <t>TronicomSystems24.de</t>
  </si>
  <si>
    <t>Pödeldorfer Straße 100</t>
  </si>
  <si>
    <t xml:space="preserve">info@tronicomsystems24.de </t>
  </si>
  <si>
    <t>Roger Roske</t>
  </si>
  <si>
    <t xml:space="preserve">Untere Dorfstr. 19a </t>
  </si>
  <si>
    <t xml:space="preserve">Burggebrach – Steppenbach </t>
  </si>
  <si>
    <t xml:space="preserve">ruc57@gmx.de </t>
  </si>
  <si>
    <t>Kommunalservice Hassfurther</t>
  </si>
  <si>
    <t xml:space="preserve">Hoher Rain 12 </t>
  </si>
  <si>
    <t xml:space="preserve">roberthassfurther1@gmail.com   </t>
  </si>
  <si>
    <t xml:space="preserve">Robert-bmw335@web.de  </t>
  </si>
  <si>
    <t>Dentallabor Nützel</t>
  </si>
  <si>
    <t>Bamberger Str. 30a</t>
  </si>
  <si>
    <t>Oberhaid</t>
  </si>
  <si>
    <t>Steffani Schlicht</t>
  </si>
  <si>
    <t xml:space="preserve">steffani2005@gmx.de </t>
  </si>
  <si>
    <t>Mirco Peltzer</t>
  </si>
  <si>
    <t>Ontrack, KLDiscovery Ontrack GmbH</t>
  </si>
  <si>
    <t>Hanns-Klemm-Str. 5</t>
  </si>
  <si>
    <t>Boeblingen</t>
  </si>
  <si>
    <t xml:space="preserve">info@ontrack.com </t>
  </si>
  <si>
    <t>aklamio GmbH</t>
  </si>
  <si>
    <t>Hagelberger Str. 11</t>
  </si>
  <si>
    <t>Berlin</t>
  </si>
  <si>
    <t xml:space="preserve">contact@aklamio.com </t>
  </si>
  <si>
    <t xml:space="preserve">Christine Heublein </t>
  </si>
  <si>
    <t xml:space="preserve">Siemensstr. 7a </t>
  </si>
  <si>
    <t xml:space="preserve">chrisheub@web.de   </t>
  </si>
  <si>
    <t>Diakonie Seniorenzentrum Seehof-Blick Memmelsdorf</t>
  </si>
  <si>
    <t xml:space="preserve">Pödeldorfer Str. 36 </t>
  </si>
  <si>
    <t>Hela Kiel</t>
  </si>
  <si>
    <t>Am Großacker 9</t>
  </si>
  <si>
    <t>Memmelsdorf – Laubend</t>
  </si>
  <si>
    <t xml:space="preserve">helakiel@gmx.de </t>
  </si>
  <si>
    <t xml:space="preserve">Ellertaler Pflegedienst – Inh. Gudrun Thoma </t>
  </si>
  <si>
    <t>Schesslitzer Str. 17</t>
  </si>
  <si>
    <t>Memmelsdorf – Drosendorf</t>
  </si>
  <si>
    <t xml:space="preserve">ellertaler-pflegedienst@t-online.de  </t>
  </si>
  <si>
    <t>www.ellertalerpflegedienst.de</t>
  </si>
  <si>
    <t>Gemeinde Memmelsdorf</t>
  </si>
  <si>
    <t xml:space="preserve">Rathausplatz 1 </t>
  </si>
  <si>
    <t xml:space="preserve">gemeinde@memmelsdorf.de </t>
  </si>
  <si>
    <t xml:space="preserve">schneider@memmelsdorf.de </t>
  </si>
  <si>
    <t>Peter Pflaum</t>
  </si>
  <si>
    <t>Poedeldorferstr. 4</t>
  </si>
  <si>
    <t xml:space="preserve">peter@pflaum-home.de </t>
  </si>
  <si>
    <t>Martin Bienlein</t>
  </si>
  <si>
    <t>Hauptstr. 70</t>
  </si>
  <si>
    <t xml:space="preserve">bienleinmartin@gmail.com </t>
  </si>
  <si>
    <t>Das bunte Chamäleon – Kristina Berßelis</t>
  </si>
  <si>
    <t xml:space="preserve">Keßlerstraße 16 </t>
  </si>
  <si>
    <t>info@das-bunte-chamaeleon.de</t>
  </si>
  <si>
    <t>www.das-bunte-chamaeleon.de</t>
  </si>
  <si>
    <t>Siegfried Einwich</t>
  </si>
  <si>
    <t>Weide 2</t>
  </si>
  <si>
    <t>Geisfeld – Strullendorf</t>
  </si>
  <si>
    <t xml:space="preserve">siggi.einwich58@freenet.de </t>
  </si>
  <si>
    <t xml:space="preserve">Familie Bleier </t>
  </si>
  <si>
    <t>Am Steinig 17</t>
  </si>
  <si>
    <t xml:space="preserve">Memmelsdorf – Drosendorf </t>
  </si>
  <si>
    <t xml:space="preserve">Henry.Bleier@kabelmail.de </t>
  </si>
  <si>
    <t>Siegfried Kirsch</t>
  </si>
  <si>
    <t>Stockackerstr. 19</t>
  </si>
  <si>
    <t>sieki@t-online.de</t>
  </si>
  <si>
    <t>Luise Winkler</t>
  </si>
  <si>
    <t>Am Giechburgblick 2</t>
  </si>
  <si>
    <t xml:space="preserve">luisewinkler6@gmail.com </t>
  </si>
  <si>
    <t>Metzgerei Artikel Prieske</t>
  </si>
  <si>
    <t>Wiesenstr. 3</t>
  </si>
  <si>
    <t>EXPERT-MEDICENTER.de Abu Baker</t>
  </si>
  <si>
    <t>Schemkesweg 50</t>
  </si>
  <si>
    <t>Duisburg</t>
  </si>
  <si>
    <t>Familie Bohnsack</t>
  </si>
  <si>
    <t>Alte Kreisstr. 32</t>
  </si>
  <si>
    <r>
      <t>ferdinand.bohnsack@icloud.com</t>
    </r>
    <r>
      <rPr>
        <sz val="10"/>
        <rFont val="Arial"/>
        <family val="2"/>
      </rPr>
      <t xml:space="preserve">  </t>
    </r>
  </si>
  <si>
    <t>Hermann Gropp</t>
  </si>
  <si>
    <t>Seehofstr. 29</t>
  </si>
  <si>
    <t>Bamberg, Gartenstadt</t>
  </si>
  <si>
    <t xml:space="preserve">hh.gropp@outlook.de </t>
  </si>
  <si>
    <t>Gisela Schregle</t>
  </si>
  <si>
    <t>Moosstr. 80</t>
  </si>
  <si>
    <t xml:space="preserve">gschregle@gmail.com </t>
  </si>
  <si>
    <t>Dirk Collin</t>
  </si>
  <si>
    <t>Kapellenstr. 3</t>
  </si>
  <si>
    <t xml:space="preserve">collin2011@live.de </t>
  </si>
  <si>
    <t>Karl Mooser</t>
  </si>
  <si>
    <t>Grünthaler Str. 2</t>
  </si>
  <si>
    <t>Wenzenbach</t>
  </si>
  <si>
    <t xml:space="preserve">karl.mooser@t-online.de </t>
  </si>
  <si>
    <t>Fotostudio Sattler</t>
  </si>
  <si>
    <t>Griesäckerstraße 34</t>
  </si>
  <si>
    <t xml:space="preserve">info@fotostudio-sattler.de </t>
  </si>
  <si>
    <r>
      <t>www.fotostudio-sattler.de</t>
    </r>
    <r>
      <rPr>
        <sz val="10"/>
        <rFont val="Arial"/>
        <family val="2"/>
      </rPr>
      <t xml:space="preserve"> </t>
    </r>
  </si>
  <si>
    <t xml:space="preserve">Fotostudio Sattler GmbH </t>
  </si>
  <si>
    <t>Matthias Koestner</t>
  </si>
  <si>
    <t>Schulstr. 6</t>
  </si>
  <si>
    <t>Wiesengiech</t>
  </si>
  <si>
    <t xml:space="preserve">pfefferdreh@t-online.de </t>
  </si>
  <si>
    <t>Denis Delauney</t>
  </si>
  <si>
    <t>Poedeldorferstr. 57</t>
  </si>
  <si>
    <r>
      <t>denisdelauney@yahoo.de</t>
    </r>
    <r>
      <rPr>
        <sz val="9"/>
        <rFont val="Open Sans"/>
        <family val="2"/>
      </rPr>
      <t xml:space="preserve"> </t>
    </r>
  </si>
  <si>
    <t>Tanja Heinkelmann</t>
  </si>
  <si>
    <t>Hauptstr. 56</t>
  </si>
  <si>
    <t xml:space="preserve">TanjaHei@web.de </t>
  </si>
  <si>
    <t>Karl Heinz Griechenbaum</t>
  </si>
  <si>
    <t>Am Tauschenberg 11</t>
  </si>
  <si>
    <t xml:space="preserve">karlgriechenbaum@t-online.de </t>
  </si>
  <si>
    <t>Michael Langner</t>
  </si>
  <si>
    <t>Meisleinsstr. 17</t>
  </si>
  <si>
    <t>Memmelsdorf Drosendorf</t>
  </si>
  <si>
    <r>
      <t>m17do@outlook.de</t>
    </r>
    <r>
      <rPr>
        <sz val="9"/>
        <rFont val="Open Sans"/>
        <family val="2"/>
      </rPr>
      <t xml:space="preserve"> </t>
    </r>
  </si>
  <si>
    <t>Familie Partsch</t>
  </si>
  <si>
    <t>Waldstr. 16</t>
  </si>
  <si>
    <t>justDice GmbH</t>
  </si>
  <si>
    <t>An der Alster 42</t>
  </si>
  <si>
    <t>Hamburg</t>
  </si>
  <si>
    <t xml:space="preserve">contact@justdice.io </t>
  </si>
  <si>
    <t xml:space="preserve">payouts@justdice.io </t>
  </si>
  <si>
    <t>Erich Endres</t>
  </si>
  <si>
    <t xml:space="preserve">erich-endres@gmx.de </t>
  </si>
  <si>
    <t>Dirk Jenssen</t>
  </si>
  <si>
    <t>Obere Mühlstadt 3</t>
  </si>
  <si>
    <t>Schesslitz</t>
  </si>
  <si>
    <t xml:space="preserve">dima.janssen@t-online.de </t>
  </si>
  <si>
    <t>Christiane Keil</t>
  </si>
  <si>
    <t xml:space="preserve">christianekeil33@googlemail.com </t>
  </si>
  <si>
    <t>Carmen Körner</t>
  </si>
  <si>
    <t xml:space="preserve">CarmenKoerner@web.de </t>
  </si>
  <si>
    <t>Horst Weiss</t>
  </si>
  <si>
    <t>Am Hohen Kreuz 8</t>
  </si>
  <si>
    <t xml:space="preserve">weiss_bamberg@hotmail.com </t>
  </si>
  <si>
    <t>Bernhard Einwich</t>
  </si>
  <si>
    <t>Austr. 1</t>
  </si>
  <si>
    <t>Memmelsdorf Merkendorf</t>
  </si>
  <si>
    <t xml:space="preserve">bernard.einwich@t-online.de </t>
  </si>
  <si>
    <t>Dr. Volker Desch</t>
  </si>
  <si>
    <t>Hohensteinstr. 30</t>
  </si>
  <si>
    <t xml:space="preserve">dr.volkerdesch@web.de </t>
  </si>
  <si>
    <t>Rosemarie Desch</t>
  </si>
  <si>
    <t xml:space="preserve">deschrosemarie21@gmail.com </t>
  </si>
  <si>
    <t xml:space="preserve">Uschi Veit </t>
  </si>
  <si>
    <t>Am Steinig 5</t>
  </si>
  <si>
    <t xml:space="preserve">paula09@freenet.de </t>
  </si>
  <si>
    <t>MOVI Claudia Seager e.K.</t>
  </si>
  <si>
    <t>Seehofstr. 5</t>
  </si>
  <si>
    <t xml:space="preserve">service@movi-bayern.de </t>
  </si>
  <si>
    <t>Henning Bartz</t>
  </si>
  <si>
    <t>Am Giechburgblick 21</t>
  </si>
  <si>
    <t xml:space="preserve">henningbartz87@gmail.com </t>
  </si>
  <si>
    <t>Sonja Bichler</t>
  </si>
  <si>
    <t>Mühläckerstr. 5</t>
  </si>
  <si>
    <t xml:space="preserve">sonjabichler@aol.com  </t>
  </si>
  <si>
    <t>bella-pizza-asia.de</t>
  </si>
  <si>
    <t>Industriestraße 9</t>
  </si>
  <si>
    <t>Bad Abbach / Lengfeld</t>
  </si>
  <si>
    <t xml:space="preserve">info@bella-pizza-asia.de </t>
  </si>
  <si>
    <t>Bella Pizza Asia Food</t>
  </si>
  <si>
    <t>Norbert Heuss</t>
  </si>
  <si>
    <t>Kastanienweg 15</t>
  </si>
  <si>
    <t xml:space="preserve">heussnorbert@gmail.com </t>
  </si>
  <si>
    <t>Markus Görtler</t>
  </si>
  <si>
    <t>Friedenstr. 1</t>
  </si>
  <si>
    <t xml:space="preserve">markus_g@gmx.de </t>
  </si>
  <si>
    <t>Stephanie Backhaus – Virtuelle Assistenz</t>
  </si>
  <si>
    <t>Kettinger Str. 82</t>
  </si>
  <si>
    <t>kontakt@virtuelleassistenz-steffibackhaus.de</t>
  </si>
  <si>
    <t>Kamran Gasimli</t>
  </si>
  <si>
    <t>Weichendorfer Str. 13</t>
  </si>
  <si>
    <t xml:space="preserve">kamran.qasimli512@gmail.com  </t>
  </si>
  <si>
    <t>Bertram Englbauer</t>
  </si>
  <si>
    <t>Theodor-Heuss-Ring 30</t>
  </si>
  <si>
    <t xml:space="preserve">b.englbauer@web.de </t>
  </si>
  <si>
    <t xml:space="preserve">info@be-office.de </t>
  </si>
  <si>
    <r>
      <t>http://www.be-office.de</t>
    </r>
    <r>
      <rPr>
        <sz val="10"/>
        <rFont val="Arial"/>
        <family val="2"/>
      </rPr>
      <t xml:space="preserve"> </t>
    </r>
  </si>
  <si>
    <t>G. Bauer</t>
  </si>
  <si>
    <t>Rosalina Loran</t>
  </si>
  <si>
    <t>Ringstr. 3</t>
  </si>
  <si>
    <t xml:space="preserve">Loran.r@web.de </t>
  </si>
  <si>
    <t>Olga Schneider</t>
  </si>
  <si>
    <t>Am Schlosßgraben 20</t>
  </si>
  <si>
    <t xml:space="preserve">o.schneider21@web.de </t>
  </si>
  <si>
    <t>Robert Wolf</t>
  </si>
  <si>
    <t xml:space="preserve">wolfrobert3@t-online.de </t>
  </si>
  <si>
    <t>Georg Spindler Sanitär &amp; Heizungstechnik</t>
  </si>
  <si>
    <t>Kirchsteig 7</t>
  </si>
  <si>
    <t xml:space="preserve">Zapfendorf – Sassendorf </t>
  </si>
  <si>
    <t xml:space="preserve">info@sanitaer-heizung-spindler.de </t>
  </si>
  <si>
    <t>Ronny Tuttor</t>
  </si>
  <si>
    <t xml:space="preserve">ronny.tuttor@web.de </t>
  </si>
  <si>
    <t>Quittung – Kleinbetragrechnungen bis 150 EUR</t>
  </si>
  <si>
    <t>Yasin Gezgic Burcin</t>
  </si>
  <si>
    <t>Heggeweg 5</t>
  </si>
  <si>
    <t>Unna / Dortmund</t>
  </si>
  <si>
    <t xml:space="preserve">Unter 50.000 EUR Jahresüberschuss pro Jahr nicht notwendig.  § 241a HGB </t>
  </si>
  <si>
    <t>Warenbestand</t>
  </si>
  <si>
    <t>Bearbeitungsdatum:</t>
  </si>
  <si>
    <t>Hardware</t>
  </si>
  <si>
    <t>Posten</t>
  </si>
  <si>
    <t>Anzahl</t>
  </si>
  <si>
    <t>Netto Einzelpreis</t>
  </si>
  <si>
    <t>Netto Gesamtpreis</t>
  </si>
  <si>
    <t xml:space="preserve">Summe </t>
  </si>
  <si>
    <t>Software</t>
  </si>
  <si>
    <t>Summe gesamt</t>
  </si>
  <si>
    <t>Warenein-/ausgang</t>
  </si>
  <si>
    <t xml:space="preserve">Posten </t>
  </si>
  <si>
    <t>Bezug/Adressat</t>
  </si>
  <si>
    <t>Wareneingang</t>
  </si>
  <si>
    <t>Summe Wareneingang</t>
  </si>
  <si>
    <t>Warenausgang</t>
  </si>
  <si>
    <t>Summe Warenausgang</t>
  </si>
  <si>
    <t>Summe Bilanz</t>
  </si>
  <si>
    <t>Gutscheine</t>
  </si>
  <si>
    <t>Firma</t>
  </si>
  <si>
    <t>Code</t>
  </si>
  <si>
    <t>Betrag</t>
  </si>
  <si>
    <t>gültig ab</t>
  </si>
  <si>
    <t>gültig bis</t>
  </si>
  <si>
    <t>urspr. St.</t>
  </si>
  <si>
    <t>unverbraucht</t>
  </si>
  <si>
    <t>Medium</t>
  </si>
  <si>
    <t>Name (fuer)</t>
  </si>
  <si>
    <t>Ort</t>
  </si>
  <si>
    <t>E-mail</t>
  </si>
  <si>
    <t>Vermerk</t>
  </si>
  <si>
    <t>BA</t>
  </si>
  <si>
    <t>Buchhaltung by Armin Fischer info@arminfischer.de       +4917621008967</t>
  </si>
  <si>
    <t xml:space="preserve"> © Armin Fischer Dienstleistungen , AFD-PC-SERVICE.de Armin Fischer 2009 </t>
  </si>
  <si>
    <t>Freely Distributeable as long footer is not removed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</si>
</sst>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#,##0.00"/>
    <numFmt numFmtId="167" formatCode="0.00"/>
    <numFmt numFmtId="168" formatCode="\+0"/>
    <numFmt numFmtId="169" formatCode="DD/MM/YY"/>
    <numFmt numFmtId="170" formatCode="0"/>
    <numFmt numFmtId="171" formatCode="0000"/>
    <numFmt numFmtId="172" formatCode="00000"/>
    <numFmt numFmtId="173" formatCode="\+GENERAL"/>
    <numFmt numFmtId="174" formatCode="\+00"/>
  </numFmts>
  <fonts count="28">
    <font>
      <sz val="12"/>
      <name val="Arial"/>
      <family val="2"/>
    </font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22"/>
      <name val="Arial"/>
      <family val="2"/>
    </font>
    <font>
      <sz val="10"/>
      <name val="Arial-BoldMT"/>
      <family val="0"/>
    </font>
    <font>
      <sz val="9"/>
      <name val="Open Sans"/>
      <family val="2"/>
    </font>
    <font>
      <sz val="10"/>
      <color indexed="12"/>
      <name val="Arial"/>
      <family val="2"/>
    </font>
    <font>
      <sz val="10"/>
      <color indexed="63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Times New Roman"/>
      <family val="1"/>
    </font>
    <font>
      <sz val="10"/>
      <name val="Open Sans"/>
      <family val="2"/>
    </font>
    <font>
      <sz val="12"/>
      <color indexed="12"/>
      <name val="Times New Roman"/>
      <family val="1"/>
    </font>
    <font>
      <sz val="9"/>
      <color indexed="12"/>
      <name val="Open Sans"/>
      <family val="2"/>
    </font>
    <font>
      <sz val="10"/>
      <color indexed="18"/>
      <name val="Arial-BoldMT"/>
      <family val="0"/>
    </font>
    <font>
      <sz val="9"/>
      <color indexed="63"/>
      <name val="Open Sans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3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3">
    <xf numFmtId="164" fontId="0" fillId="0" borderId="0" xfId="0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/>
    </xf>
    <xf numFmtId="167" fontId="4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8" fontId="3" fillId="0" borderId="0" xfId="0" applyNumberFormat="1" applyFont="1" applyAlignment="1">
      <alignment horizontal="left"/>
    </xf>
    <xf numFmtId="164" fontId="7" fillId="0" borderId="0" xfId="0" applyNumberFormat="1" applyFont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7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164" fontId="3" fillId="3" borderId="0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164" fontId="3" fillId="4" borderId="0" xfId="0" applyNumberFormat="1" applyFont="1" applyFill="1" applyBorder="1" applyAlignment="1">
      <alignment/>
    </xf>
    <xf numFmtId="164" fontId="3" fillId="5" borderId="0" xfId="0" applyNumberFormat="1" applyFont="1" applyFill="1" applyBorder="1" applyAlignment="1">
      <alignment/>
    </xf>
    <xf numFmtId="164" fontId="1" fillId="5" borderId="0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164" fontId="8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 horizontal="left"/>
    </xf>
    <xf numFmtId="169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7" fontId="1" fillId="6" borderId="0" xfId="0" applyNumberFormat="1" applyFont="1" applyFill="1" applyBorder="1" applyAlignment="1">
      <alignment/>
    </xf>
    <xf numFmtId="167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71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70" fontId="1" fillId="0" borderId="4" xfId="0" applyNumberFormat="1" applyFont="1" applyBorder="1" applyAlignment="1">
      <alignment/>
    </xf>
    <xf numFmtId="172" fontId="1" fillId="0" borderId="4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4" fontId="9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1" fillId="7" borderId="0" xfId="0" applyNumberFormat="1" applyFont="1" applyFill="1" applyBorder="1" applyAlignment="1">
      <alignment/>
    </xf>
    <xf numFmtId="164" fontId="1" fillId="7" borderId="0" xfId="0" applyNumberFormat="1" applyFont="1" applyFill="1" applyBorder="1" applyAlignment="1">
      <alignment/>
    </xf>
    <xf numFmtId="170" fontId="1" fillId="7" borderId="0" xfId="0" applyNumberFormat="1" applyFont="1" applyFill="1" applyBorder="1" applyAlignment="1">
      <alignment/>
    </xf>
    <xf numFmtId="167" fontId="1" fillId="7" borderId="0" xfId="0" applyNumberFormat="1" applyFont="1" applyFill="1" applyBorder="1" applyAlignment="1">
      <alignment/>
    </xf>
    <xf numFmtId="167" fontId="1" fillId="7" borderId="0" xfId="0" applyNumberFormat="1" applyFont="1" applyFill="1" applyBorder="1" applyAlignment="1">
      <alignment/>
    </xf>
    <xf numFmtId="165" fontId="1" fillId="0" borderId="2" xfId="0" applyNumberFormat="1" applyFont="1" applyBorder="1" applyAlignment="1">
      <alignment/>
    </xf>
    <xf numFmtId="164" fontId="1" fillId="8" borderId="0" xfId="0" applyNumberFormat="1" applyFont="1" applyFill="1" applyBorder="1" applyAlignment="1">
      <alignment/>
    </xf>
    <xf numFmtId="164" fontId="1" fillId="6" borderId="0" xfId="0" applyNumberFormat="1" applyFont="1" applyFill="1" applyBorder="1" applyAlignment="1">
      <alignment/>
    </xf>
    <xf numFmtId="164" fontId="13" fillId="0" borderId="0" xfId="0" applyNumberFormat="1" applyFont="1" applyBorder="1" applyAlignment="1">
      <alignment/>
    </xf>
    <xf numFmtId="167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1" fillId="0" borderId="0" xfId="0" applyFont="1" applyAlignment="1">
      <alignment wrapText="1"/>
    </xf>
    <xf numFmtId="168" fontId="1" fillId="0" borderId="0" xfId="0" applyNumberFormat="1" applyFont="1" applyAlignment="1">
      <alignment/>
    </xf>
    <xf numFmtId="164" fontId="1" fillId="9" borderId="0" xfId="0" applyNumberFormat="1" applyFont="1" applyFill="1" applyBorder="1" applyAlignment="1">
      <alignment/>
    </xf>
    <xf numFmtId="172" fontId="4" fillId="9" borderId="0" xfId="0" applyNumberFormat="1" applyFont="1" applyFill="1" applyBorder="1" applyAlignment="1">
      <alignment/>
    </xf>
    <xf numFmtId="168" fontId="1" fillId="9" borderId="0" xfId="0" applyNumberFormat="1" applyFont="1" applyFill="1" applyBorder="1" applyAlignment="1">
      <alignment/>
    </xf>
    <xf numFmtId="172" fontId="1" fillId="9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1" fillId="0" borderId="0" xfId="0" applyFont="1" applyAlignment="1">
      <alignment/>
    </xf>
    <xf numFmtId="168" fontId="3" fillId="0" borderId="0" xfId="0" applyNumberFormat="1" applyFont="1" applyBorder="1" applyAlignment="1">
      <alignment/>
    </xf>
    <xf numFmtId="164" fontId="11" fillId="9" borderId="0" xfId="0" applyNumberFormat="1" applyFont="1" applyFill="1" applyBorder="1" applyAlignment="1">
      <alignment/>
    </xf>
    <xf numFmtId="172" fontId="1" fillId="7" borderId="0" xfId="0" applyNumberFormat="1" applyFont="1" applyFill="1" applyBorder="1" applyAlignment="1">
      <alignment/>
    </xf>
    <xf numFmtId="168" fontId="1" fillId="7" borderId="0" xfId="0" applyNumberFormat="1" applyFont="1" applyFill="1" applyBorder="1" applyAlignment="1">
      <alignment/>
    </xf>
    <xf numFmtId="164" fontId="11" fillId="7" borderId="0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 wrapText="1"/>
    </xf>
    <xf numFmtId="164" fontId="11" fillId="0" borderId="0" xfId="0" applyFont="1" applyAlignment="1">
      <alignment wrapText="1"/>
    </xf>
    <xf numFmtId="168" fontId="16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68" fontId="1" fillId="0" borderId="0" xfId="0" applyNumberFormat="1" applyFont="1" applyBorder="1" applyAlignment="1">
      <alignment horizontal="justify"/>
    </xf>
    <xf numFmtId="164" fontId="4" fillId="0" borderId="0" xfId="0" applyNumberFormat="1" applyFont="1" applyBorder="1" applyAlignment="1">
      <alignment/>
    </xf>
    <xf numFmtId="164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164" fontId="1" fillId="0" borderId="0" xfId="0" applyFont="1" applyAlignment="1">
      <alignment horizontal="right" wrapText="1"/>
    </xf>
    <xf numFmtId="168" fontId="18" fillId="0" borderId="0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wrapText="1"/>
    </xf>
    <xf numFmtId="164" fontId="20" fillId="0" borderId="0" xfId="0" applyFont="1" applyAlignment="1">
      <alignment wrapText="1"/>
    </xf>
    <xf numFmtId="164" fontId="20" fillId="0" borderId="0" xfId="0" applyFont="1" applyAlignment="1">
      <alignment/>
    </xf>
    <xf numFmtId="168" fontId="12" fillId="0" borderId="0" xfId="0" applyNumberFormat="1" applyFont="1" applyBorder="1" applyAlignment="1">
      <alignment/>
    </xf>
    <xf numFmtId="164" fontId="12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2" xfId="0" applyNumberFormat="1" applyFont="1" applyBorder="1" applyAlignment="1">
      <alignment/>
    </xf>
    <xf numFmtId="165" fontId="23" fillId="0" borderId="2" xfId="0" applyNumberFormat="1" applyFont="1" applyBorder="1" applyAlignment="1">
      <alignment/>
    </xf>
    <xf numFmtId="164" fontId="24" fillId="0" borderId="0" xfId="0" applyNumberFormat="1" applyFont="1" applyBorder="1" applyAlignment="1">
      <alignment/>
    </xf>
    <xf numFmtId="164" fontId="1" fillId="10" borderId="0" xfId="0" applyNumberFormat="1" applyFont="1" applyFill="1" applyBorder="1" applyAlignment="1">
      <alignment/>
    </xf>
    <xf numFmtId="167" fontId="1" fillId="0" borderId="0" xfId="0" applyNumberFormat="1" applyFont="1" applyAlignment="1">
      <alignment/>
    </xf>
    <xf numFmtId="169" fontId="1" fillId="0" borderId="0" xfId="0" applyNumberFormat="1" applyFont="1" applyBorder="1" applyAlignment="1">
      <alignment/>
    </xf>
    <xf numFmtId="164" fontId="25" fillId="0" borderId="0" xfId="0" applyFont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25" fillId="0" borderId="0" xfId="0" applyNumberFormat="1" applyFont="1" applyBorder="1" applyAlignment="1">
      <alignment/>
    </xf>
    <xf numFmtId="169" fontId="23" fillId="0" borderId="2" xfId="0" applyNumberFormat="1" applyFont="1" applyBorder="1" applyAlignment="1">
      <alignment/>
    </xf>
    <xf numFmtId="164" fontId="26" fillId="0" borderId="0" xfId="0" applyNumberFormat="1" applyFont="1" applyBorder="1" applyAlignment="1">
      <alignment/>
    </xf>
    <xf numFmtId="169" fontId="1" fillId="0" borderId="7" xfId="0" applyNumberFormat="1" applyFont="1" applyBorder="1" applyAlignment="1">
      <alignment/>
    </xf>
    <xf numFmtId="164" fontId="1" fillId="10" borderId="9" xfId="0" applyNumberFormat="1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164" fontId="2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99"/>
      <rgbColor rgb="0000FFFF"/>
      <rgbColor rgb="00800000"/>
      <rgbColor rgb="00009900"/>
      <rgbColor rgb="00000081"/>
      <rgbColor rgb="00808000"/>
      <rgbColor rgb="00800080"/>
      <rgbColor rgb="00008080"/>
      <rgbColor rgb="00C0C0C0"/>
      <rgbColor rgb="00808080"/>
      <rgbColor rgb="006699CC"/>
      <rgbColor rgb="00993366"/>
      <rgbColor rgb="00FFFFCC"/>
      <rgbColor rgb="00CCFFFF"/>
      <rgbColor rgb="00660066"/>
      <rgbColor rgb="00FF8080"/>
      <rgbColor rgb="000066CC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rminfischer.com" TargetMode="External" /><Relationship Id="rId2" Type="http://schemas.openxmlformats.org/officeDocument/2006/relationships/hyperlink" Target="http://Computerservice.arminfischer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rminfischer.com" TargetMode="External" /><Relationship Id="rId2" Type="http://schemas.openxmlformats.org/officeDocument/2006/relationships/hyperlink" Target="http://Computerservice.arminfischer.com/" TargetMode="External" /><Relationship Id="rId3" Type="http://schemas.openxmlformats.org/officeDocument/2006/relationships/hyperlink" Target="mailto:office@arminfischer.com" TargetMode="External" /><Relationship Id="rId4" Type="http://schemas.openxmlformats.org/officeDocument/2006/relationships/hyperlink" Target="mailto:office@arminfischer.com" TargetMode="External" /><Relationship Id="rId5" Type="http://schemas.openxmlformats.org/officeDocument/2006/relationships/hyperlink" Target="http://kalender.arminfischer.com/" TargetMode="External" /><Relationship Id="rId6" Type="http://schemas.openxmlformats.org/officeDocument/2006/relationships/hyperlink" Target="http://calendly.com/arminfischercom/30min/" TargetMode="External" /><Relationship Id="rId7" Type="http://schemas.openxmlformats.org/officeDocument/2006/relationships/hyperlink" Target="http://Computerservice.arminfischer.com/chatus/" TargetMode="External" /><Relationship Id="rId8" Type="http://schemas.openxmlformats.org/officeDocument/2006/relationships/hyperlink" Target="http://news.computerservice.arminfischer.com/" TargetMode="External" /><Relationship Id="rId9" Type="http://schemas.openxmlformats.org/officeDocument/2006/relationships/hyperlink" Target="http://Computerservice.arminfischer.com/" TargetMode="External" /><Relationship Id="rId10" Type="http://schemas.openxmlformats.org/officeDocument/2006/relationships/hyperlink" Target="http://linktr.ee/Computerservicearminfischer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rminfischer.com" TargetMode="External" /><Relationship Id="rId2" Type="http://schemas.openxmlformats.org/officeDocument/2006/relationships/hyperlink" Target="http://Computerservice.arminfischer.com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rminfischer.com" TargetMode="External" /><Relationship Id="rId2" Type="http://schemas.openxmlformats.org/officeDocument/2006/relationships/hyperlink" Target="http://Computerservice.arminfischer.com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rminfischer.com" TargetMode="External" /><Relationship Id="rId2" Type="http://schemas.openxmlformats.org/officeDocument/2006/relationships/hyperlink" Target="http://Computerservice.arminfischer.com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rminfischer.com" TargetMode="External" /><Relationship Id="rId2" Type="http://schemas.openxmlformats.org/officeDocument/2006/relationships/hyperlink" Target="http://Computerservice.arminfischer.com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rigitte.dierig@gmx.de" TargetMode="External" /><Relationship Id="rId2" Type="http://schemas.openxmlformats.org/officeDocument/2006/relationships/hyperlink" Target="mailto:victoria.trenner@gmx.de" TargetMode="External" /><Relationship Id="rId3" Type="http://schemas.openxmlformats.org/officeDocument/2006/relationships/hyperlink" Target="mailto:info@beton-trenn.de" TargetMode="External" /><Relationship Id="rId4" Type="http://schemas.openxmlformats.org/officeDocument/2006/relationships/hyperlink" Target="mailto:gbbarbara035@gmail.com" TargetMode="External" /><Relationship Id="rId5" Type="http://schemas.openxmlformats.org/officeDocument/2006/relationships/hyperlink" Target="mailto:kerstin.deuber@schneckenhof-bamberg.de" TargetMode="External" /><Relationship Id="rId6" Type="http://schemas.openxmlformats.org/officeDocument/2006/relationships/hyperlink" Target="mailto:amy.deuber@gmx.de" TargetMode="External" /><Relationship Id="rId7" Type="http://schemas.openxmlformats.org/officeDocument/2006/relationships/hyperlink" Target="mailto:gilbert.diller@web.de" TargetMode="External" /><Relationship Id="rId8" Type="http://schemas.openxmlformats.org/officeDocument/2006/relationships/hyperlink" Target="mailto:info@tronicomsystems24.de" TargetMode="External" /><Relationship Id="rId9" Type="http://schemas.openxmlformats.org/officeDocument/2006/relationships/hyperlink" Target="mailto:ruc57@gmx.de" TargetMode="External" /><Relationship Id="rId10" Type="http://schemas.openxmlformats.org/officeDocument/2006/relationships/hyperlink" Target="mailto:roberthassfurther1@gmail.com" TargetMode="External" /><Relationship Id="rId11" Type="http://schemas.openxmlformats.org/officeDocument/2006/relationships/hyperlink" Target="mailto:Robert-bmw335@web.de" TargetMode="External" /><Relationship Id="rId12" Type="http://schemas.openxmlformats.org/officeDocument/2006/relationships/hyperlink" Target="mailto:steffani2005@gmx.de" TargetMode="External" /><Relationship Id="rId13" Type="http://schemas.openxmlformats.org/officeDocument/2006/relationships/hyperlink" Target="mailto:info@ontrack.com" TargetMode="External" /><Relationship Id="rId14" Type="http://schemas.openxmlformats.org/officeDocument/2006/relationships/hyperlink" Target="mailto:contact@aklamio.com" TargetMode="External" /><Relationship Id="rId15" Type="http://schemas.openxmlformats.org/officeDocument/2006/relationships/hyperlink" Target="mailto:chrisheub@web.de" TargetMode="External" /><Relationship Id="rId16" Type="http://schemas.openxmlformats.org/officeDocument/2006/relationships/hyperlink" Target="mailto:helakiel@gmx.de" TargetMode="External" /><Relationship Id="rId17" Type="http://schemas.openxmlformats.org/officeDocument/2006/relationships/hyperlink" Target="mailto:ellertaler-pflegedienst@t-online.de" TargetMode="External" /><Relationship Id="rId18" Type="http://schemas.openxmlformats.org/officeDocument/2006/relationships/hyperlink" Target="mailto:gemeinde@memmelsdorf.de" TargetMode="External" /><Relationship Id="rId19" Type="http://schemas.openxmlformats.org/officeDocument/2006/relationships/hyperlink" Target="mailto:schneider@memmelsdorf.de" TargetMode="External" /><Relationship Id="rId20" Type="http://schemas.openxmlformats.org/officeDocument/2006/relationships/hyperlink" Target="mailto:peter@pflaum-home.de" TargetMode="External" /><Relationship Id="rId21" Type="http://schemas.openxmlformats.org/officeDocument/2006/relationships/hyperlink" Target="mailto:info@das-bunte-chamaeleon.de" TargetMode="External" /><Relationship Id="rId22" Type="http://schemas.openxmlformats.org/officeDocument/2006/relationships/hyperlink" Target="http://www.das-bunte-chamaeleon.de/" TargetMode="External" /><Relationship Id="rId23" Type="http://schemas.openxmlformats.org/officeDocument/2006/relationships/hyperlink" Target="mailto:siggi.einwich58@freenet.de" TargetMode="External" /><Relationship Id="rId24" Type="http://schemas.openxmlformats.org/officeDocument/2006/relationships/hyperlink" Target="mailto:Henry.Bleier@kabelmail.de" TargetMode="External" /><Relationship Id="rId25" Type="http://schemas.openxmlformats.org/officeDocument/2006/relationships/hyperlink" Target="mailto:luisewinkler6@gmail.com" TargetMode="External" /><Relationship Id="rId26" Type="http://schemas.openxmlformats.org/officeDocument/2006/relationships/hyperlink" Target="mailto:ferdinand.bohnsack@icloud.com" TargetMode="External" /><Relationship Id="rId27" Type="http://schemas.openxmlformats.org/officeDocument/2006/relationships/hyperlink" Target="mailto:hh.gropp@outlook.de" TargetMode="External" /><Relationship Id="rId28" Type="http://schemas.openxmlformats.org/officeDocument/2006/relationships/hyperlink" Target="mailto:gschregle@gmail.com" TargetMode="External" /><Relationship Id="rId29" Type="http://schemas.openxmlformats.org/officeDocument/2006/relationships/hyperlink" Target="mailto:collin2011@live.de" TargetMode="External" /><Relationship Id="rId30" Type="http://schemas.openxmlformats.org/officeDocument/2006/relationships/hyperlink" Target="mailto:karl.mooser@t-online.de" TargetMode="External" /><Relationship Id="rId31" Type="http://schemas.openxmlformats.org/officeDocument/2006/relationships/hyperlink" Target="mailto:info@fotostudio-sattler.de" TargetMode="External" /><Relationship Id="rId32" Type="http://schemas.openxmlformats.org/officeDocument/2006/relationships/hyperlink" Target="http://www.fotostudio-sattler.de/" TargetMode="External" /><Relationship Id="rId33" Type="http://schemas.openxmlformats.org/officeDocument/2006/relationships/hyperlink" Target="mailto:pfefferdreh@t-online.de" TargetMode="External" /><Relationship Id="rId34" Type="http://schemas.openxmlformats.org/officeDocument/2006/relationships/hyperlink" Target="mailto:denisdelauney@yahoo.de" TargetMode="External" /><Relationship Id="rId35" Type="http://schemas.openxmlformats.org/officeDocument/2006/relationships/hyperlink" Target="mailto:TanjaHei@web.de" TargetMode="External" /><Relationship Id="rId36" Type="http://schemas.openxmlformats.org/officeDocument/2006/relationships/hyperlink" Target="mailto:karlgriechenbaum@t-online.de" TargetMode="External" /><Relationship Id="rId37" Type="http://schemas.openxmlformats.org/officeDocument/2006/relationships/hyperlink" Target="mailto:m17do@outlook.de" TargetMode="External" /><Relationship Id="rId38" Type="http://schemas.openxmlformats.org/officeDocument/2006/relationships/hyperlink" Target="mailto:contact@justdice.io" TargetMode="External" /><Relationship Id="rId39" Type="http://schemas.openxmlformats.org/officeDocument/2006/relationships/hyperlink" Target="mailto:payouts@justdice.io" TargetMode="External" /><Relationship Id="rId40" Type="http://schemas.openxmlformats.org/officeDocument/2006/relationships/hyperlink" Target="mailto:erich-endres@gmx.de" TargetMode="External" /><Relationship Id="rId41" Type="http://schemas.openxmlformats.org/officeDocument/2006/relationships/hyperlink" Target="mailto:dima.janssen@t-online.de" TargetMode="External" /><Relationship Id="rId42" Type="http://schemas.openxmlformats.org/officeDocument/2006/relationships/hyperlink" Target="mailto:christianekeil33@googlemail.com" TargetMode="External" /><Relationship Id="rId43" Type="http://schemas.openxmlformats.org/officeDocument/2006/relationships/hyperlink" Target="mailto:CarmenKoerner@web.de" TargetMode="External" /><Relationship Id="rId44" Type="http://schemas.openxmlformats.org/officeDocument/2006/relationships/hyperlink" Target="mailto:weiss_bamberg@hotmail.com" TargetMode="External" /><Relationship Id="rId45" Type="http://schemas.openxmlformats.org/officeDocument/2006/relationships/hyperlink" Target="mailto:bernard.einwich@t-online.de" TargetMode="External" /><Relationship Id="rId46" Type="http://schemas.openxmlformats.org/officeDocument/2006/relationships/hyperlink" Target="mailto:dr.volkerdesch@web.de" TargetMode="External" /><Relationship Id="rId47" Type="http://schemas.openxmlformats.org/officeDocument/2006/relationships/hyperlink" Target="mailto:deschrosemarie21@gmail.com" TargetMode="External" /><Relationship Id="rId48" Type="http://schemas.openxmlformats.org/officeDocument/2006/relationships/hyperlink" Target="mailto:paula09@freenet.de" TargetMode="External" /><Relationship Id="rId49" Type="http://schemas.openxmlformats.org/officeDocument/2006/relationships/hyperlink" Target="mailto:service@movi-bayern.de" TargetMode="External" /><Relationship Id="rId50" Type="http://schemas.openxmlformats.org/officeDocument/2006/relationships/hyperlink" Target="mailto:henningbartz87@gmail.com" TargetMode="External" /><Relationship Id="rId51" Type="http://schemas.openxmlformats.org/officeDocument/2006/relationships/hyperlink" Target="mailto:sonjabichler@aol.com" TargetMode="External" /><Relationship Id="rId52" Type="http://schemas.openxmlformats.org/officeDocument/2006/relationships/hyperlink" Target="mailto:info@bella-pizza-asia.de" TargetMode="External" /><Relationship Id="rId53" Type="http://schemas.openxmlformats.org/officeDocument/2006/relationships/hyperlink" Target="mailto:heussnorbert@gmail.com" TargetMode="External" /><Relationship Id="rId54" Type="http://schemas.openxmlformats.org/officeDocument/2006/relationships/hyperlink" Target="mailto:markus_g@gmx.de" TargetMode="External" /><Relationship Id="rId55" Type="http://schemas.openxmlformats.org/officeDocument/2006/relationships/hyperlink" Target="mailto:kontakt@virtuelleassistenz-steffibackhaus.de" TargetMode="External" /><Relationship Id="rId56" Type="http://schemas.openxmlformats.org/officeDocument/2006/relationships/hyperlink" Target="mailto:kamran.qasimli512@gmail.com" TargetMode="External" /><Relationship Id="rId57" Type="http://schemas.openxmlformats.org/officeDocument/2006/relationships/hyperlink" Target="mailto:b.englbauer@web.de" TargetMode="External" /><Relationship Id="rId58" Type="http://schemas.openxmlformats.org/officeDocument/2006/relationships/hyperlink" Target="mailto:info@be-office.de" TargetMode="External" /><Relationship Id="rId59" Type="http://schemas.openxmlformats.org/officeDocument/2006/relationships/hyperlink" Target="http://www.be-office.de/" TargetMode="External" /><Relationship Id="rId60" Type="http://schemas.openxmlformats.org/officeDocument/2006/relationships/hyperlink" Target="mailto:Loran.r@web.de" TargetMode="External" /><Relationship Id="rId61" Type="http://schemas.openxmlformats.org/officeDocument/2006/relationships/hyperlink" Target="mailto:o.schneider21@web.de" TargetMode="External" /><Relationship Id="rId62" Type="http://schemas.openxmlformats.org/officeDocument/2006/relationships/hyperlink" Target="mailto:wolfrobert3@t-online.de" TargetMode="External" /><Relationship Id="rId63" Type="http://schemas.openxmlformats.org/officeDocument/2006/relationships/hyperlink" Target="mailto:info@sanitaer-heizung-spindler.de" TargetMode="External" /><Relationship Id="rId64" Type="http://schemas.openxmlformats.org/officeDocument/2006/relationships/hyperlink" Target="mailto:ronny.tuttor@web.de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rminfischer.com" TargetMode="External" /><Relationship Id="rId2" Type="http://schemas.openxmlformats.org/officeDocument/2006/relationships/hyperlink" Target="http://Computerservice.arminfischer.com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rminfischer.com" TargetMode="External" /><Relationship Id="rId2" Type="http://schemas.openxmlformats.org/officeDocument/2006/relationships/hyperlink" Target="http://Computerservice.arminfischer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3"/>
  <sheetViews>
    <sheetView tabSelected="1" workbookViewId="0" topLeftCell="A1">
      <selection activeCell="C3" sqref="C3"/>
    </sheetView>
  </sheetViews>
  <sheetFormatPr defaultColWidth="9.77734375" defaultRowHeight="15"/>
  <cols>
    <col min="1" max="1" width="11.21484375" style="1" customWidth="1"/>
    <col min="2" max="2" width="33.6640625" style="1" customWidth="1"/>
    <col min="3" max="3" width="11.21484375" style="1" customWidth="1"/>
    <col min="4" max="5" width="9.6640625" style="1" customWidth="1"/>
    <col min="6" max="6" width="9.4453125" style="1" customWidth="1"/>
    <col min="7" max="7" width="8.6640625" style="1" customWidth="1"/>
    <col min="8" max="16384" width="9.6640625" style="1" customWidth="1"/>
  </cols>
  <sheetData>
    <row r="2" spans="1:14" ht="12.75">
      <c r="A2" s="2" t="s">
        <v>0</v>
      </c>
      <c r="B2" s="3">
        <v>2024</v>
      </c>
      <c r="C2" s="2"/>
      <c r="E2" s="2" t="s">
        <v>0</v>
      </c>
      <c r="F2" s="2">
        <v>2024</v>
      </c>
      <c r="M2" s="2" t="s">
        <v>0</v>
      </c>
      <c r="N2" s="2">
        <v>2024</v>
      </c>
    </row>
    <row r="3" spans="1:14" ht="12.75">
      <c r="A3" s="2" t="s">
        <v>1</v>
      </c>
      <c r="B3" s="2"/>
      <c r="C3" s="2"/>
      <c r="E3" s="2" t="s">
        <v>1</v>
      </c>
      <c r="F3" s="2"/>
      <c r="M3" s="2" t="s">
        <v>1</v>
      </c>
      <c r="N3" s="2"/>
    </row>
    <row r="4" spans="1:14" ht="12.75">
      <c r="A4" s="2" t="s">
        <v>2</v>
      </c>
      <c r="B4" s="2"/>
      <c r="C4" s="2"/>
      <c r="E4" s="2" t="s">
        <v>2</v>
      </c>
      <c r="F4" s="2"/>
      <c r="M4" s="2" t="s">
        <v>2</v>
      </c>
      <c r="N4" s="2"/>
    </row>
    <row r="5" spans="1:14" ht="12.75">
      <c r="A5"/>
      <c r="B5" s="2"/>
      <c r="C5" s="2"/>
      <c r="E5"/>
      <c r="F5" s="2"/>
      <c r="M5"/>
      <c r="N5" s="2"/>
    </row>
    <row r="6" spans="1:14" ht="12.75">
      <c r="A6" s="1" t="s">
        <v>3</v>
      </c>
      <c r="B6" s="4">
        <f ca="1">TODAY()</f>
        <v>45312</v>
      </c>
      <c r="C6" s="2"/>
      <c r="E6" s="1" t="s">
        <v>3</v>
      </c>
      <c r="F6" s="4">
        <f ca="1">TODAY()</f>
        <v>45312</v>
      </c>
      <c r="M6" s="1" t="s">
        <v>3</v>
      </c>
      <c r="N6" s="4">
        <f ca="1">TODAY()</f>
        <v>45312</v>
      </c>
    </row>
    <row r="7" spans="5:19" ht="12.75">
      <c r="E7" s="5" t="s">
        <v>4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M7" s="5" t="s">
        <v>4</v>
      </c>
      <c r="N7" s="6">
        <v>7</v>
      </c>
      <c r="O7" s="6">
        <v>8</v>
      </c>
      <c r="P7" s="6">
        <v>9</v>
      </c>
      <c r="Q7" s="6">
        <v>10</v>
      </c>
      <c r="R7" s="6">
        <v>11</v>
      </c>
      <c r="S7" s="6">
        <v>12</v>
      </c>
    </row>
    <row r="8" spans="1:19" ht="12.75">
      <c r="A8" s="7" t="s">
        <v>5</v>
      </c>
      <c r="B8" s="7" t="s">
        <v>6</v>
      </c>
      <c r="C8" s="7" t="s">
        <v>7</v>
      </c>
      <c r="E8" s="7" t="s">
        <v>5</v>
      </c>
      <c r="F8" s="7"/>
      <c r="G8" s="7"/>
      <c r="H8" s="7"/>
      <c r="I8" s="7"/>
      <c r="J8" s="7"/>
      <c r="K8" s="7"/>
      <c r="M8" s="7" t="s">
        <v>5</v>
      </c>
      <c r="N8" s="7"/>
      <c r="O8" s="7"/>
      <c r="P8" s="7"/>
      <c r="Q8" s="7"/>
      <c r="R8" s="7"/>
      <c r="S8" s="7"/>
    </row>
    <row r="9" spans="1:19" ht="12.75">
      <c r="A9" s="7"/>
      <c r="B9" s="7"/>
      <c r="C9" s="7"/>
      <c r="E9" s="8"/>
      <c r="F9" s="7"/>
      <c r="G9" s="7"/>
      <c r="H9" s="7"/>
      <c r="I9" s="7"/>
      <c r="J9" s="7"/>
      <c r="K9" s="7"/>
      <c r="M9" s="8"/>
      <c r="N9" s="7"/>
      <c r="O9" s="7"/>
      <c r="P9" s="7"/>
      <c r="Q9" s="7"/>
      <c r="R9" s="7"/>
      <c r="S9" s="7"/>
    </row>
    <row r="10" spans="1:19" ht="12.75">
      <c r="A10" s="7"/>
      <c r="B10" s="7"/>
      <c r="C10" s="7"/>
      <c r="E10" s="8"/>
      <c r="F10" s="7"/>
      <c r="G10" s="7"/>
      <c r="H10" s="7"/>
      <c r="I10" s="7"/>
      <c r="J10" s="7"/>
      <c r="K10" s="7"/>
      <c r="M10" s="8"/>
      <c r="N10" s="7"/>
      <c r="O10" s="7"/>
      <c r="P10" s="7"/>
      <c r="Q10" s="7"/>
      <c r="R10" s="7"/>
      <c r="S10" s="7"/>
    </row>
    <row r="11" spans="1:19" ht="12.75">
      <c r="A11" s="7"/>
      <c r="B11" s="7" t="s">
        <v>8</v>
      </c>
      <c r="C11" s="9"/>
      <c r="E11" s="8"/>
      <c r="F11" s="7"/>
      <c r="G11" s="7"/>
      <c r="H11" s="7"/>
      <c r="I11" s="7"/>
      <c r="J11" s="7"/>
      <c r="K11" s="7"/>
      <c r="M11" s="8"/>
      <c r="N11" s="7"/>
      <c r="O11" s="7"/>
      <c r="P11" s="7"/>
      <c r="Q11" s="7"/>
      <c r="R11" s="7"/>
      <c r="S11" s="7"/>
    </row>
    <row r="12" spans="1:19" ht="12.75">
      <c r="A12" s="5">
        <v>14</v>
      </c>
      <c r="B12" s="7" t="s">
        <v>9</v>
      </c>
      <c r="C12" s="9">
        <f>SUM(F12:K12)+SUM(N12:S12)</f>
        <v>0</v>
      </c>
      <c r="E12" s="6">
        <v>14</v>
      </c>
      <c r="F12" s="10">
        <f>SUMPRODUCT((MONTH(BH_Erloese_EUeR!A101:A199)=1)*((BH_Erloese_EUeR!D101:D199)=14)*(BH_Erloese_EUeR!H101:H199))</f>
        <v>0</v>
      </c>
      <c r="G12" s="10">
        <f>SUMPRODUCT((MONTH(BH_Erloese_EUeR!A101:A199)=2)*((BH_Erloese_EUeR!D101:D199)=14)*(BH_Erloese_EUeR!H101:H199))</f>
        <v>0</v>
      </c>
      <c r="H12" s="11">
        <f>SUMPRODUCT((MONTH(BH_Erloese_EUeR!A101:A199)=3)*((BH_Erloese_EUeR!D101:D199)=14)*(BH_Erloese_EUeR!H101:H199))</f>
        <v>0</v>
      </c>
      <c r="I12" s="11">
        <f>SUMPRODUCT((MONTH(BH_Erloese_EUeR!A101:A199)=4)*((BH_Erloese_EUeR!D101:D199)=14)*(BH_Erloese_EUeR!H101:H199))</f>
        <v>0</v>
      </c>
      <c r="J12" s="11">
        <f>SUMPRODUCT((MONTH(BH_Erloese_EUeR!A101:A199)=5)*((BH_Erloese_EUeR!D101:D199)=14)*(BH_Erloese_EUeR!H101:H199))</f>
        <v>0</v>
      </c>
      <c r="K12" s="11">
        <f>SUMPRODUCT((MONTH(BH_Erloese_EUeR!A101:A199)=6)*((BH_Erloese_EUeR!D101:D199)=14)*(BH_Erloese_EUeR!H101:H199))</f>
        <v>0</v>
      </c>
      <c r="M12" s="6">
        <v>14</v>
      </c>
      <c r="N12" s="11">
        <f>SUMPRODUCT((MONTH(BH_Erloese_EUeR!A101:A199)=7)*((BH_Erloese_EUeR!D101:D199)=14)*(BH_Erloese_EUeR!H101:H199))</f>
        <v>0</v>
      </c>
      <c r="O12" s="11">
        <f>SUMPRODUCT((MONTH(BH_Erloese_EUeR!A101:A199)=8)*((BH_Erloese_EUeR!D101:D199)=14)*(BH_Erloese_EUeR!H101:H199))</f>
        <v>0</v>
      </c>
      <c r="P12" s="11">
        <f>SUMPRODUCT((MONTH(BH_Erloese_EUeR!A101:A199)=9)*((BH_Erloese_EUeR!D101:D199)=14)*(BH_Erloese_EUeR!H101:H199))</f>
        <v>0</v>
      </c>
      <c r="Q12" s="11">
        <f>SUMPRODUCT((MONTH(BH_Erloese_EUeR!A101:A199)=10)*((BH_Erloese_EUeR!D101:D199)=14)*(BH_Erloese_EUeR!H101:H199))</f>
        <v>0</v>
      </c>
      <c r="R12" s="11">
        <f>SUMPRODUCT((MONTH(BH_Erloese_EUeR!A101:A199)=11)*((BH_Erloese_EUeR!D101:D199)=14)*(BH_Erloese_EUeR!H101:H199))</f>
        <v>0</v>
      </c>
      <c r="S12" s="11">
        <f>SUMPRODUCT((MONTH(BH_Erloese_EUeR!A101:A199)=12)*((BH_Erloese_EUeR!D101:D199)=14)*(BH_Erloese_EUeR!H101:H199))</f>
        <v>0</v>
      </c>
    </row>
    <row r="13" spans="1:19" ht="12.75">
      <c r="A13" s="5">
        <v>15</v>
      </c>
      <c r="B13" s="7" t="s">
        <v>10</v>
      </c>
      <c r="C13" s="9"/>
      <c r="E13" s="6">
        <v>15</v>
      </c>
      <c r="F13" s="8"/>
      <c r="G13" s="7"/>
      <c r="H13" s="7"/>
      <c r="I13" s="7"/>
      <c r="J13" s="7"/>
      <c r="K13" s="7"/>
      <c r="M13" s="6">
        <v>15</v>
      </c>
      <c r="N13" s="7"/>
      <c r="O13" s="11"/>
      <c r="P13" s="7"/>
      <c r="Q13" s="7"/>
      <c r="R13" s="11"/>
      <c r="S13" s="7"/>
    </row>
    <row r="14" spans="1:19" ht="12.75">
      <c r="A14" s="5">
        <v>16</v>
      </c>
      <c r="B14" s="7" t="s">
        <v>11</v>
      </c>
      <c r="C14" s="9">
        <f>SUM(F14:K14)+SUM(N14:S14)</f>
        <v>0</v>
      </c>
      <c r="E14" s="6">
        <v>16</v>
      </c>
      <c r="F14" s="12">
        <f>SUMPRODUCT((MONTH(BH_Erloese_EUeR!A101:A131)=1)*(BH_Erloese_EUeR!I101:I131))+SUMPRODUCT((MONTH(BH_Erloese_EUeR!A200:A230)=1)*(BH_Erloese_EUeR!I200:I230))</f>
        <v>0</v>
      </c>
      <c r="G14" s="12">
        <f>SUMPRODUCT((MONTH(BH_Erloese_EUeR!A101:A131)=2)*(BH_Erloese_EUeR!I101:I131))+SUMPRODUCT((MONTH(BH_Erloese_EUeR!A200:A230)=2)*(BH_Erloese_EUeR!I200:I230))</f>
        <v>0</v>
      </c>
      <c r="H14" s="12">
        <f>SUMPRODUCT((MONTH(BH_Erloese_EUeR!A101:A131)=3)*(BH_Erloese_EUeR!I101:I131))+SUMPRODUCT((MONTH(BH_Erloese_EUeR!A200:A230)=3)*(BH_Erloese_EUeR!I200:I230))</f>
        <v>0</v>
      </c>
      <c r="I14" s="12">
        <f>SUMPRODUCT((MONTH(BH_Erloese_EUeR!A101:A131)=4)*(BH_Erloese_EUeR!I101:I131))+SUMPRODUCT((MONTH(BH_Erloese_EUeR!A200:A230)=4)*(BH_Erloese_EUeR!I200:I230))</f>
        <v>0</v>
      </c>
      <c r="J14" s="12">
        <f>SUMPRODUCT((MONTH(BH_Erloese_EUeR!A101:A131)=5)*(BH_Erloese_EUeR!I101:I131))+SUMPRODUCT((MONTH(BH_Erloese_EUeR!A200:A230)=5)*(BH_Erloese_EUeR!I200:I230))</f>
        <v>0</v>
      </c>
      <c r="K14" s="12">
        <f>SUMPRODUCT((MONTH(BH_Erloese_EUeR!A101:A131)=6)*(BH_Erloese_EUeR!I101:I131))+SUMPRODUCT((MONTH(BH_Erloese_EUeR!A200:A230)=6)*(BH_Erloese_EUeR!I200:I230))</f>
        <v>0</v>
      </c>
      <c r="M14" s="6">
        <v>16</v>
      </c>
      <c r="N14" s="12">
        <f>SUMPRODUCT((MONTH(BH_Erloese_EUeR!A101:A136)=7)*(BH_Erloese_EUeR!I101:I136))+SUMPRODUCT((MONTH(BH_Erloese_EUeR!A200:A230)=7)*(BH_Erloese_EUeR!I200:I230))</f>
        <v>0</v>
      </c>
      <c r="O14" s="13">
        <f>SUMPRODUCT((MONTH(BH_Erloese_EUeR!A101:A136)=8)*(BH_Erloese_EUeR!I101:I136))+SUMPRODUCT((MONTH(BH_Erloese_EUeR!A200:A230)=8)*(BH_Erloese_EUeR!I200:I230))</f>
        <v>0</v>
      </c>
      <c r="P14" s="12">
        <f>SUMPRODUCT((MONTH(BH_Erloese_EUeR!A101:A145)=9)*(BH_Erloese_EUeR!I101:I145))</f>
        <v>0</v>
      </c>
      <c r="Q14" s="12">
        <f>SUMPRODUCT((MONTH(BH_Erloese_EUeR!A101:A145)=10)*(BH_Erloese_EUeR!I101:I145))</f>
        <v>0</v>
      </c>
      <c r="R14" s="12">
        <f>SUMPRODUCT((MONTH(BH_Erloese_EUeR!A101:A150)=11)*(BH_Erloese_EUeR!I101:I150))</f>
        <v>0</v>
      </c>
      <c r="S14" s="12">
        <f>SUMPRODUCT((MONTH(BH_Erloese_EUeR!A101:A150)=12)*(BH_Erloese_EUeR!I101:I150))</f>
        <v>0</v>
      </c>
    </row>
    <row r="15" spans="1:19" ht="12.75">
      <c r="A15" s="5">
        <v>17</v>
      </c>
      <c r="B15" s="7" t="s">
        <v>12</v>
      </c>
      <c r="C15" s="9">
        <f>SUM(F15:K15)+SUM(N15:S15)</f>
        <v>0</v>
      </c>
      <c r="E15" s="6">
        <v>17</v>
      </c>
      <c r="F15" s="11">
        <f>SUMPRODUCT((MONTH(BH_Aufwand_EUeR!A11:A55)=1)*((BH_Aufwand_EUeR!D11:D55)=17)*(BH_Aufwand_EUeR!H11:H55))</f>
        <v>0</v>
      </c>
      <c r="G15" s="11">
        <f>SUMPRODUCT((MONTH(BH_Aufwand_EUeR!A11:A55)=2)*((BH_Aufwand_EUeR!D11:D55)=17)*(BH_Aufwand_EUeR!H11:H55))</f>
        <v>0</v>
      </c>
      <c r="H15" s="11">
        <f>SUMPRODUCT((MONTH(BH_Aufwand_EUeR!A11:A55)=3)*((BH_Aufwand_EUeR!D11:D55)=17)*(BH_Aufwand_EUeR!H11:H55))</f>
        <v>0</v>
      </c>
      <c r="I15" s="11">
        <f>SUMPRODUCT((MONTH(BH_Aufwand_EUeR!A11:A55)=4)*((BH_Aufwand_EUeR!D11:D55)=17)*(BH_Aufwand_EUeR!H11:H55))</f>
        <v>0</v>
      </c>
      <c r="J15" s="11">
        <f>SUMPRODUCT((MONTH(BH_Aufwand_EUeR!A11:A55)=5)*((BH_Aufwand_EUeR!D11:D55)=17)*(BH_Aufwand_EUeR!H11:H55))</f>
        <v>0</v>
      </c>
      <c r="K15" s="11">
        <f>SUMPRODUCT((MONTH(BH_Aufwand_EUeR!A11:A55)=6)*((BH_Aufwand_EUeR!D11:D55)=17)*(BH_Aufwand_EUeR!H11:H55))</f>
        <v>0</v>
      </c>
      <c r="M15" s="6">
        <v>17</v>
      </c>
      <c r="N15" s="11">
        <f>SUMPRODUCT((MONTH(BH_Aufwand_EUeR!A11:A55)=7)*((BH_Aufwand_EUeR!D11:D55)=17)*(BH_Aufwand_EUeR!H11:H55))</f>
        <v>0</v>
      </c>
      <c r="O15" s="11">
        <f>SUMPRODUCT((MONTH(BH_Aufwand_EUeR!A11:A55)=8)*((BH_Aufwand_EUeR!D11:D55)=17)*(BH_Aufwand_EUeR!H11:H55))</f>
        <v>0</v>
      </c>
      <c r="P15" s="11">
        <f>SUMPRODUCT((MONTH(BH_Aufwand_EUeR!A11:A55)=9)*((BH_Aufwand_EUeR!D11:D55)=17)*(BH_Aufwand_EUeR!H11:H55))</f>
        <v>0</v>
      </c>
      <c r="Q15" s="11">
        <f>SUMPRODUCT((MONTH(BH_Aufwand_EUeR!A11:A55)=10)*((BH_Aufwand_EUeR!D11:D55)=17)*(BH_Aufwand_EUeR!H11:H55))</f>
        <v>0</v>
      </c>
      <c r="R15" s="11">
        <f>SUMPRODUCT((MONTH(BH_Aufwand_EUeR!A11:A55)=11)*((BH_Aufwand_EUeR!D11:D55)=17)*(BH_Aufwand_EUeR!H11:H55))</f>
        <v>0</v>
      </c>
      <c r="S15" s="11">
        <f>SUMPRODUCT((MONTH(BH_Aufwand_EUeR!A11:A55)=12)*((BH_Aufwand_EUeR!D11:D55)=17)*(BH_Aufwand_EUeR!H11:H55))</f>
        <v>0</v>
      </c>
    </row>
    <row r="16" spans="1:19" ht="12.75">
      <c r="A16" s="5">
        <v>18</v>
      </c>
      <c r="B16" s="7" t="s">
        <v>13</v>
      </c>
      <c r="C16" s="9">
        <f>SUM(F16:K16)+SUM(N16:S16)</f>
        <v>0</v>
      </c>
      <c r="E16" s="6">
        <v>18</v>
      </c>
      <c r="F16" s="11">
        <f>SUMPRODUCT((MONTH(BH_Aufwand_EUeR!A11:A55)=1)*((BH_Aufwand_EUeR!D11:D55)=18)*(BH_Aufwand_EUeR!H11:H55))</f>
        <v>0</v>
      </c>
      <c r="G16" s="11">
        <f>SUMPRODUCT((MONTH(BH_Aufwand_EUeR!A11:A55)=2)*((BH_Aufwand_EUeR!D11:D55)=18)*(BH_Aufwand_EUeR!H11:H55))</f>
        <v>0</v>
      </c>
      <c r="H16" s="11">
        <f>SUMPRODUCT((MONTH(BH_Aufwand_EUeR!A11:A55)=3)*((BH_Aufwand_EUeR!D11:D55)=18)*(BH_Aufwand_EUeR!H11:H55))</f>
        <v>0</v>
      </c>
      <c r="I16" s="11">
        <f>SUMPRODUCT((MONTH(BH_Aufwand_EUeR!A11:A55)=4)*((BH_Aufwand_EUeR!D11:D55)=18)*(BH_Aufwand_EUeR!H11:H55))</f>
        <v>0</v>
      </c>
      <c r="J16" s="11">
        <f>SUMPRODUCT((MONTH(BH_Aufwand_EUeR!A11:A55)=5)*((BH_Aufwand_EUeR!D11:D55)=18)*(BH_Aufwand_EUeR!H11:H55))</f>
        <v>0</v>
      </c>
      <c r="K16" s="11">
        <f>SUMPRODUCT((MONTH(BH_Aufwand_EUeR!A11:A55)=6)*((BH_Aufwand_EUeR!D11:D55)=18)*(BH_Aufwand_EUeR!H11:H55))</f>
        <v>0</v>
      </c>
      <c r="M16" s="6">
        <v>18</v>
      </c>
      <c r="N16" s="11">
        <f>SUMPRODUCT((MONTH(BH_Aufwand_EUeR!A11:A55)=7)*((BH_Aufwand_EUeR!D11:D55)=18)*(BH_Aufwand_EUeR!H11:H55))</f>
        <v>0</v>
      </c>
      <c r="O16" s="11">
        <f>SUMPRODUCT((MONTH(BH_Aufwand_EUeR!A11:A55)=8)*((BH_Aufwand_EUeR!D11:D55)=18)*(BH_Aufwand_EUeR!H11:H55))</f>
        <v>0</v>
      </c>
      <c r="P16" s="11">
        <f>SUMPRODUCT((MONTH(BH_Aufwand_EUeR!A11:A55)=9)*((BH_Aufwand_EUeR!D11:D55)=18)*(BH_Aufwand_EUeR!H11:H55))</f>
        <v>0</v>
      </c>
      <c r="Q16" s="11">
        <f>SUMPRODUCT((MONTH(BH_Aufwand_EUeR!A11:A55)=10)*((BH_Aufwand_EUeR!E11:E55)=18)*(BH_Aufwand_EUeR!I11:I55))</f>
        <v>0</v>
      </c>
      <c r="R16" s="11">
        <f>SUMPRODUCT((MONTH(BH_Aufwand_EUeR!A11:A55)=11)*((BH_Aufwand_EUeR!D11:D55)=18)*(BH_Aufwand_EUeR!H11:H55))</f>
        <v>0</v>
      </c>
      <c r="S16" s="11">
        <f>SUMPRODUCT((MONTH(BH_Aufwand_EUeR!A11:A55)=12)*((BH_Aufwand_EUeR!D11:D55)=18)*(BH_Aufwand_EUeR!H11:H55))</f>
        <v>0</v>
      </c>
    </row>
    <row r="17" spans="1:19" ht="12.75">
      <c r="A17" s="5">
        <v>20</v>
      </c>
      <c r="B17" s="7" t="s">
        <v>14</v>
      </c>
      <c r="C17" s="9">
        <f>SUM(F17:K17)+SUM(N17:S17)</f>
        <v>0</v>
      </c>
      <c r="E17" s="6">
        <v>20</v>
      </c>
      <c r="F17" s="10">
        <f>SUMPRODUCT((MONTH(BH_Erloese_EUeR!A200:A230)=1)*((BH_Erloese_EUeR!D200:D230)=20)*(BH_Erloese_EUeR!H200:H230))</f>
        <v>0</v>
      </c>
      <c r="G17" s="10">
        <f>SUMPRODUCT((MONTH(BH_Erloese_EUeR!A200:A230)=2)*((BH_Erloese_EUeR!D200:D230)=20)*(BH_Erloese_EUeR!H200:H230))</f>
        <v>0</v>
      </c>
      <c r="H17" s="10">
        <f>SUMPRODUCT((MONTH(BH_Erloese_EUeR!A200:A230)=3)*((BH_Erloese_EUeR!D200:D230)=20)*(BH_Erloese_EUeR!H200:H230))</f>
        <v>0</v>
      </c>
      <c r="I17" s="10">
        <f>SUMPRODUCT((MONTH(BH_Erloese_EUeR!A200:A230)=4)*((BH_Erloese_EUeR!D200:D230)=20)*(BH_Erloese_EUeR!H200:H230))</f>
        <v>0</v>
      </c>
      <c r="J17" s="10">
        <f>SUMPRODUCT((MONTH(BH_Erloese_EUeR!A200:A230)=5)*((BH_Erloese_EUeR!D200:D230)=20)*(BH_Erloese_EUeR!H200:H230))</f>
        <v>0</v>
      </c>
      <c r="K17" s="10">
        <f>SUMPRODUCT((MONTH(BH_Erloese_EUeR!A200:A230)=6)*((BH_Erloese_EUeR!D200:D230)=20)*(BH_Erloese_EUeR!H200:H230))</f>
        <v>0</v>
      </c>
      <c r="M17" s="6">
        <v>20</v>
      </c>
      <c r="N17" s="10">
        <f>SUMPRODUCT((MONTH(BH_Erloese_EUeR!A200:A230)=7)*((BH_Erloese_EUeR!D200:D230)=20)*(BH_Erloese_EUeR!H200:H230))</f>
        <v>0</v>
      </c>
      <c r="O17" s="14">
        <f>SUMPRODUCT((MONTH(BH_Erloese_EUeR!A200:A230)=8)*((BH_Erloese_EUeR!D200:D230)=20)*(BH_Erloese_EUeR!H200:H230))</f>
        <v>0</v>
      </c>
      <c r="P17" s="10">
        <f>SUMPRODUCT((MONTH(BH_Erloese_EUeR!A200:A230)=9)*((BH_Erloese_EUeR!D200:D230)=20)*(BH_Erloese_EUeR!H200:H230))</f>
        <v>0</v>
      </c>
      <c r="Q17" s="10">
        <f>SUMPRODUCT((MONTH(BH_Erloese_EUeR!A200:A230)=10)*((BH_Erloese_EUeR!D200:D230)=20)*(BH_Erloese_EUeR!H200:H230))</f>
        <v>0</v>
      </c>
      <c r="R17" s="10">
        <f>SUMPRODUCT((MONTH(BH_Erloese_EUeR!A200:A230)=11)*((BH_Erloese_EUeR!D200:D230)=20)*(BH_Erloese_EUeR!H200:H230))</f>
        <v>0</v>
      </c>
      <c r="S17" s="10">
        <f>SUMPRODUCT((MONTH(BH_Erloese_EUeR!A200:A230)=12)*((BH_Erloese_EUeR!D200:D230)=20)*(BH_Erloese_EUeR!H200:H230))</f>
        <v>0</v>
      </c>
    </row>
    <row r="18" spans="1:19" ht="12.75">
      <c r="A18" s="5"/>
      <c r="B18" s="7"/>
      <c r="C18" s="9"/>
      <c r="E18" s="6"/>
      <c r="F18" s="7"/>
      <c r="G18" s="7"/>
      <c r="H18" s="7"/>
      <c r="I18" s="7"/>
      <c r="J18" s="7"/>
      <c r="K18" s="7"/>
      <c r="M18" s="6"/>
      <c r="N18" s="7"/>
      <c r="O18" s="7"/>
      <c r="P18" s="7"/>
      <c r="Q18" s="7"/>
      <c r="R18" s="7"/>
      <c r="S18" s="7"/>
    </row>
    <row r="19" spans="1:19" ht="12.75">
      <c r="A19" s="5">
        <v>22</v>
      </c>
      <c r="B19" s="7" t="s">
        <v>15</v>
      </c>
      <c r="C19" s="15">
        <f>SUM(F19:K19)+SUM(N19:S19)</f>
        <v>0</v>
      </c>
      <c r="E19" s="6">
        <v>22</v>
      </c>
      <c r="F19" s="12">
        <f>SUM(F12:F17)</f>
        <v>0</v>
      </c>
      <c r="G19" s="12">
        <f>SUM(G12:G17)</f>
        <v>0</v>
      </c>
      <c r="H19" s="12">
        <f>SUM(H12:H17)</f>
        <v>0</v>
      </c>
      <c r="I19" s="12">
        <f>SUM(I12:I17)</f>
        <v>0</v>
      </c>
      <c r="J19" s="12">
        <f>SUM(J12:J17)</f>
        <v>0</v>
      </c>
      <c r="K19" s="12">
        <f>SUM(K12:K17)</f>
        <v>0</v>
      </c>
      <c r="M19" s="6">
        <v>22</v>
      </c>
      <c r="N19" s="12">
        <f>SUM(N12:N17)</f>
        <v>0</v>
      </c>
      <c r="O19" s="12">
        <f>SUM(O12:O17)</f>
        <v>0</v>
      </c>
      <c r="P19" s="12">
        <f>SUM(P12:P17)</f>
        <v>0</v>
      </c>
      <c r="Q19" s="12">
        <f>SUM(Q12:Q17)</f>
        <v>0</v>
      </c>
      <c r="R19" s="12">
        <f>SUM(R12:R17)</f>
        <v>0</v>
      </c>
      <c r="S19" s="12">
        <f>SUM(S12:S17)</f>
        <v>0</v>
      </c>
    </row>
    <row r="20" spans="1:19" ht="12.75">
      <c r="A20" s="5"/>
      <c r="B20" s="7"/>
      <c r="C20" s="9"/>
      <c r="E20" s="6"/>
      <c r="F20" s="7"/>
      <c r="G20" s="7"/>
      <c r="H20" s="7"/>
      <c r="I20" s="7"/>
      <c r="J20" s="7"/>
      <c r="K20" s="7"/>
      <c r="M20" s="6"/>
      <c r="N20" s="7"/>
      <c r="O20" s="7"/>
      <c r="P20" s="7"/>
      <c r="Q20" s="7"/>
      <c r="R20" s="7"/>
      <c r="S20" s="7"/>
    </row>
    <row r="21" spans="1:19" ht="12.75">
      <c r="A21" s="5"/>
      <c r="B21" s="7" t="s">
        <v>16</v>
      </c>
      <c r="C21" s="15">
        <f>SUM(C22:C41)</f>
        <v>0</v>
      </c>
      <c r="E21" s="6"/>
      <c r="F21" s="15">
        <f>SUM(F22:F41)</f>
        <v>0</v>
      </c>
      <c r="G21" s="15">
        <f>SUM(G22:G41)</f>
        <v>0</v>
      </c>
      <c r="H21" s="15">
        <f>SUM(H22:H41)</f>
        <v>0</v>
      </c>
      <c r="I21" s="15">
        <f>SUM(I22:I41)</f>
        <v>0</v>
      </c>
      <c r="J21" s="15">
        <f>SUM(J22:J41)</f>
        <v>0</v>
      </c>
      <c r="K21" s="15">
        <f>SUM(K22:K41)</f>
        <v>0</v>
      </c>
      <c r="M21" s="6"/>
      <c r="N21" s="15">
        <f>SUM(N22:N41)</f>
        <v>0</v>
      </c>
      <c r="O21" s="15">
        <f>SUM(O22:O41)</f>
        <v>0</v>
      </c>
      <c r="P21" s="15">
        <f>SUM(P22:P41)</f>
        <v>0</v>
      </c>
      <c r="Q21" s="15">
        <f>SUM(Q22:Q41)</f>
        <v>0</v>
      </c>
      <c r="R21" s="15">
        <f>SUM(R22:R41)</f>
        <v>0</v>
      </c>
      <c r="S21" s="15">
        <f>SUM(S22:S41)</f>
        <v>0</v>
      </c>
    </row>
    <row r="22" spans="1:19" ht="12.75">
      <c r="A22" s="5">
        <v>25</v>
      </c>
      <c r="B22" s="7" t="s">
        <v>17</v>
      </c>
      <c r="C22" s="9">
        <f>SUM(F22:K22)+SUM(N22:S22)</f>
        <v>0</v>
      </c>
      <c r="E22" s="6">
        <v>25</v>
      </c>
      <c r="F22" s="11">
        <f>SUMPRODUCT((MONTH(BH_Aufwand_EUeR!A11:A55)=1)*((BH_Aufwand_EUeR!D11:D55)=25)*(BH_Aufwand_EUeR!H11:H55))</f>
        <v>0</v>
      </c>
      <c r="G22" s="11">
        <f>SUMPRODUCT((MONTH(BH_Aufwand_EUeR!A11:A55)=2)*((BH_Aufwand_EUeR!D11:D55)=25)*(BH_Aufwand_EUeR!H11:H55))</f>
        <v>0</v>
      </c>
      <c r="H22" s="11">
        <f>SUMPRODUCT((MONTH(BH_Aufwand_EUeR!A11:A55)=3)*((BH_Aufwand_EUeR!D11:D55)=25)*(BH_Aufwand_EUeR!H11:H55))</f>
        <v>0</v>
      </c>
      <c r="I22" s="11">
        <f>SUMPRODUCT((MONTH(BH_Aufwand_EUeR!A11:A55)=4)*((BH_Aufwand_EUeR!D11:D55)=25)*(BH_Aufwand_EUeR!H11:H55))</f>
        <v>0</v>
      </c>
      <c r="J22" s="11">
        <f>SUMPRODUCT((MONTH(BH_Aufwand_EUeR!A11:A55)=5)*((BH_Aufwand_EUeR!D11:D55)=25)*(BH_Aufwand_EUeR!H11:H55))</f>
        <v>0</v>
      </c>
      <c r="K22" s="11">
        <f>SUMPRODUCT((MONTH(BH_Aufwand_EUeR!A11:A94)=6)*((BH_Aufwand_EUeR!D11:D94)=25)*(BH_Aufwand_EUeR!H11:H94))</f>
        <v>0</v>
      </c>
      <c r="M22" s="6">
        <v>25</v>
      </c>
      <c r="N22" s="11">
        <f>SUMPRODUCT((MONTH(BH_Aufwand_EUeR!A11:A94)=7)*((BH_Aufwand_EUeR!D11:D94)=25)*(BH_Aufwand_EUeR!H11:H94))</f>
        <v>0</v>
      </c>
      <c r="O22" s="11">
        <f>SUMPRODUCT((MONTH(BH_Aufwand_EUeR!A11:A94)=8)*((BH_Aufwand_EUeR!D11:D94)=25)*(BH_Aufwand_EUeR!H11:H94))</f>
        <v>0</v>
      </c>
      <c r="P22" s="11">
        <f>SUMPRODUCT((MONTH(BH_Aufwand_EUeR!A11:A94)=9)*((BH_Aufwand_EUeR!D11:D94)=25)*(BH_Aufwand_EUeR!H11:H94))</f>
        <v>0</v>
      </c>
      <c r="Q22" s="11">
        <f>SUMPRODUCT((MONTH(BH_Aufwand_EUeR!A11:A94)=10)*((BH_Aufwand_EUeR!D11:D94)=25)*(BH_Aufwand_EUeR!H11:H94))</f>
        <v>0</v>
      </c>
      <c r="R22" s="11">
        <f>SUMPRODUCT((MONTH(BH_Aufwand_EUeR!A11:A94)=11)*((BH_Aufwand_EUeR!D11:D94)=25)*(BH_Aufwand_EUeR!H11:H94))</f>
        <v>0</v>
      </c>
      <c r="S22" s="11">
        <f>SUMPRODUCT((MONTH(BH_Aufwand_EUeR!A11:A94)=12)*((BH_Aufwand_EUeR!D11:D94)=25)*(BH_Aufwand_EUeR!H11:H94))</f>
        <v>0</v>
      </c>
    </row>
    <row r="23" spans="1:19" ht="12.75">
      <c r="A23" s="5">
        <v>26</v>
      </c>
      <c r="B23" s="7" t="s">
        <v>18</v>
      </c>
      <c r="C23" s="9">
        <f>SUM(F23:K23)+SUM(N23:S23)</f>
        <v>0</v>
      </c>
      <c r="E23" s="6">
        <v>26</v>
      </c>
      <c r="F23" s="11">
        <f>SUMPRODUCT((MONTH(BH_Aufwand_EUeR!A11:A55)=1)*((BH_Aufwand_EUeR!D11:D55)=26)*(BH_Aufwand_EUeR!H11:H55))</f>
        <v>0</v>
      </c>
      <c r="G23" s="11">
        <f>SUMPRODUCT((MONTH(BH_Aufwand_EUeR!A11:A55)=2)*((BH_Aufwand_EUeR!D11:D55)=26)*(BH_Aufwand_EUeR!H11:H55))</f>
        <v>0</v>
      </c>
      <c r="H23" s="11">
        <f>SUMPRODUCT((MONTH(BH_Aufwand_EUeR!A11:A55)=3)*((BH_Aufwand_EUeR!D11:D55)=26)*(BH_Aufwand_EUeR!H11:H55))</f>
        <v>0</v>
      </c>
      <c r="I23" s="11">
        <f>SUMPRODUCT((MONTH(BH_Aufwand_EUeR!A11:A55)=4)*((BH_Aufwand_EUeR!D11:D55)=26)*(BH_Aufwand_EUeR!H11:H55))</f>
        <v>0</v>
      </c>
      <c r="J23" s="11">
        <f>SUMPRODUCT((MONTH(BH_Aufwand_EUeR!A11:A55)=5)*((BH_Aufwand_EUeR!D11:D55)=26)*(BH_Aufwand_EUeR!H11:H55))</f>
        <v>0</v>
      </c>
      <c r="K23" s="11">
        <f>SUMPRODUCT((MONTH(BH_Aufwand_EUeR!A11:A55)=6)*((BH_Aufwand_EUeR!D11:D55)=26)*(BH_Aufwand_EUeR!H11:H55))</f>
        <v>0</v>
      </c>
      <c r="M23" s="6">
        <v>26</v>
      </c>
      <c r="N23" s="11">
        <f>SUMPRODUCT((MONTH(BH_Aufwand_EUeR!A11:A94)=7)*((BH_Aufwand_EUeR!D11:D94)=26)*(BH_Aufwand_EUeR!H11:H94))</f>
        <v>0</v>
      </c>
      <c r="O23" s="11">
        <f>SUMPRODUCT((MONTH(BH_Aufwand_EUeR!A11:A94)=8)*((BH_Aufwand_EUeR!D11:D94)=26)*(BH_Aufwand_EUeR!H11:H94))</f>
        <v>0</v>
      </c>
      <c r="P23" s="11">
        <f>SUMPRODUCT((MONTH(BH_Aufwand_EUeR!A11:A94)=9)*((BH_Aufwand_EUeR!D11:D94)=26)*(BH_Aufwand_EUeR!H11:H94))</f>
        <v>0</v>
      </c>
      <c r="Q23" s="11">
        <f>SUMPRODUCT((MONTH(BH_Aufwand_EUeR!A11:A94)=10)*((BH_Aufwand_EUeR!D11:D94)=26)*(BH_Aufwand_EUeR!H11:H94))</f>
        <v>0</v>
      </c>
      <c r="R23" s="11">
        <f>SUMPRODUCT((MONTH(BH_Aufwand_EUeR!A11:A94)=11)*((BH_Aufwand_EUeR!D11:D94)=26)*(BH_Aufwand_EUeR!H11:H94))</f>
        <v>0</v>
      </c>
      <c r="S23" s="11">
        <f>SUMPRODUCT((MONTH(BH_Aufwand_EUeR!A11:A94)=12)*((BH_Aufwand_EUeR!D11:D94)=26)*(BH_Aufwand_EUeR!H11:H94))</f>
        <v>0</v>
      </c>
    </row>
    <row r="24" spans="1:19" ht="12.75">
      <c r="A24" s="5">
        <v>27</v>
      </c>
      <c r="B24" s="7" t="s">
        <v>19</v>
      </c>
      <c r="C24" s="9"/>
      <c r="E24" s="6">
        <v>27</v>
      </c>
      <c r="F24" s="11">
        <f>SUMPRODUCT((MONTH(BH_Aufwand_EUeR!A11:A55)=1)*((BH_Aufwand_EUeR!D11:D55)=27)*(BH_Aufwand_EUeR!H11:H55))</f>
        <v>0</v>
      </c>
      <c r="G24" s="11">
        <f>SUMPRODUCT((MONTH(BH_Aufwand_EUeR!A11:A55)=1)*((BH_Aufwand_EUeR!D11:D55)=27)*(BH_Aufwand_EUeR!H11:H55))</f>
        <v>0</v>
      </c>
      <c r="H24" s="11">
        <f>SUMPRODUCT((MONTH(BH_Aufwand_EUeR!A11:A55)=1)*((BH_Aufwand_EUeR!D11:D55)=27)*(BH_Aufwand_EUeR!H11:H55))</f>
        <v>0</v>
      </c>
      <c r="I24" s="11">
        <f>SUMPRODUCT((MONTH(BH_Aufwand_EUeR!A11:A55)=1)*((BH_Aufwand_EUeR!D11:D55)=27)*(BH_Aufwand_EUeR!H11:H55))</f>
        <v>0</v>
      </c>
      <c r="J24" s="11">
        <f>SUMPRODUCT((MONTH(BH_Aufwand_EUeR!A11:A55)=1)*((BH_Aufwand_EUeR!D11:D55)=27)*(BH_Aufwand_EUeR!H11:H55))</f>
        <v>0</v>
      </c>
      <c r="K24" s="11">
        <f>SUMPRODUCT((MONTH(BH_Aufwand_EUeR!F11:F55)=6)*((BH_Aufwand_EUeR!I11:I55)=27)*(BH_Aufwand_EUeR!M11:M55))</f>
        <v>0</v>
      </c>
      <c r="M24" s="6">
        <v>27</v>
      </c>
      <c r="N24" s="11">
        <f>SUMPRODUCT((MONTH(BH_Aufwand_EUeR!A11:A55)=1)*((BH_Aufwand_EUeR!D11:D55)=27)*(BH_Aufwand_EUeR!H11:H55))</f>
        <v>0</v>
      </c>
      <c r="O24" s="11">
        <f>SUMPRODUCT((MONTH(BH_Aufwand_EUeR!A11:A55)=1)*((BH_Aufwand_EUeR!D11:D55)=27)*(BH_Aufwand_EUeR!H11:H55))</f>
        <v>0</v>
      </c>
      <c r="P24" s="11">
        <f>SUMPRODUCT((MONTH(BH_Aufwand_EUeR!A11:A55)=1)*((BH_Aufwand_EUeR!D11:D55)=27)*(BH_Aufwand_EUeR!H11:H55))</f>
        <v>0</v>
      </c>
      <c r="Q24" s="11">
        <f>SUMPRODUCT((MONTH(BH_Aufwand_EUeR!A11:A55)=1)*((BH_Aufwand_EUeR!D11:D55)=27)*(BH_Aufwand_EUeR!H11:H55))</f>
        <v>0</v>
      </c>
      <c r="R24" s="11">
        <f>SUMPRODUCT((MONTH(BH_Aufwand_EUeR!A11:A55)=1)*((BH_Aufwand_EUeR!D11:D55)=27)*(BH_Aufwand_EUeR!H11:H55))</f>
        <v>0</v>
      </c>
      <c r="S24" s="11">
        <f>SUMPRODUCT((MONTH(BH_Aufwand_EUeR!A11:A55)=1)*((BH_Aufwand_EUeR!D11:D55)=27)*(BH_Aufwand_EUeR!H11:H55))</f>
        <v>0</v>
      </c>
    </row>
    <row r="25" spans="1:19" ht="12.75">
      <c r="A25" s="5"/>
      <c r="B25" s="7"/>
      <c r="C25" s="9"/>
      <c r="E25" s="6"/>
      <c r="F25" s="11"/>
      <c r="G25" s="11"/>
      <c r="H25" s="11"/>
      <c r="I25" s="11"/>
      <c r="J25" s="11"/>
      <c r="K25" s="11"/>
      <c r="M25" s="6"/>
      <c r="N25" s="11"/>
      <c r="O25" s="11"/>
      <c r="P25" s="11"/>
      <c r="Q25" s="11"/>
      <c r="R25" s="11"/>
      <c r="S25" s="11"/>
    </row>
    <row r="26" spans="1:19" ht="12.75">
      <c r="A26" s="5">
        <v>28</v>
      </c>
      <c r="B26" s="7" t="s">
        <v>20</v>
      </c>
      <c r="C26" s="9">
        <f>SUM(F26:K26)+SUM(N26:S26)</f>
        <v>0</v>
      </c>
      <c r="E26" s="6">
        <v>28</v>
      </c>
      <c r="F26" s="11">
        <f>SUMPRODUCT((MONTH(BH_Aufwand_EUeR!A11:A55)=1)*((BH_Aufwand_EUeR!D11:D55)=28)*(BH_Aufwand_EUeR!H11:H55))</f>
        <v>0</v>
      </c>
      <c r="G26" s="11">
        <f>SUMPRODUCT((MONTH(BH_Aufwand_EUeR!A11:A55)=2)*((BH_Aufwand_EUeR!D11:D55)=28)*(BH_Aufwand_EUeR!H11:H55))</f>
        <v>0</v>
      </c>
      <c r="H26" s="11">
        <f>SUMPRODUCT((MONTH(BH_Aufwand_EUeR!A11:A55)=3)*((BH_Aufwand_EUeR!D11:D55)=28)*(BH_Aufwand_EUeR!H11:H55))</f>
        <v>0</v>
      </c>
      <c r="I26" s="11">
        <f>SUMPRODUCT((MONTH(BH_Aufwand_EUeR!A11:A55)=4)*((BH_Aufwand_EUeR!D11:D55)=28)*(BH_Aufwand_EUeR!H11:H55))</f>
        <v>0</v>
      </c>
      <c r="J26" s="11">
        <f>SUMPRODUCT((MONTH(BH_Aufwand_EUeR!A11:A55)=5)*((BH_Aufwand_EUeR!D11:D55)=28)*(BH_Aufwand_EUeR!H11:H55))</f>
        <v>0</v>
      </c>
      <c r="K26" s="11">
        <f>SUMPRODUCT((MONTH(BH_Aufwand_EUeR!A11:A55)=5)*((BH_Aufwand_EUeR!D11:D55)=28)*(BH_Aufwand_EUeR!H11:H55))</f>
        <v>0</v>
      </c>
      <c r="M26" s="6">
        <v>28</v>
      </c>
      <c r="N26" s="11">
        <f>SUMPRODUCT((MONTH(BH_Aufwand_EUeR!A11:A55)=7)*((BH_Aufwand_EUeR!D11:D55)=28)*(BH_Aufwand_EUeR!H11:H55))</f>
        <v>0</v>
      </c>
      <c r="O26" s="11">
        <f>SUMPRODUCT((MONTH(BH_Aufwand_EUeR!A11:A55)=8)*((BH_Aufwand_EUeR!D11:D55)=28)*(BH_Aufwand_EUeR!H11:H55))</f>
        <v>0</v>
      </c>
      <c r="P26" s="11">
        <f>SUMPRODUCT((MONTH(BH_Aufwand_EUeR!A11:A55)=9)*((BH_Aufwand_EUeR!D11:D55)=28)*(BH_Aufwand_EUeR!H11:H55))</f>
        <v>0</v>
      </c>
      <c r="Q26" s="11">
        <f>SUMPRODUCT((MONTH(BH_Aufwand_EUeR!A11:A55)=10)*((BH_Aufwand_EUeR!D11:D55)=28)*(BH_Aufwand_EUeR!H11:H55))</f>
        <v>0</v>
      </c>
      <c r="R26" s="11">
        <f>SUMPRODUCT((MONTH(BH_Aufwand_EUeR!A11:A55)=12)*((BH_Aufwand_EUeR!D11:D55)=28)*(BH_Aufwand_EUeR!H11:H55))</f>
        <v>0</v>
      </c>
      <c r="S26" s="11">
        <f>SUMPRODUCT((MONTH(BH_Aufwand_EUeR!A11:A55)=12)*((BH_Aufwand_EUeR!D11:D55)=28)*(BH_Aufwand_EUeR!H11:H55))</f>
        <v>0</v>
      </c>
    </row>
    <row r="27" spans="1:19" ht="12.75">
      <c r="A27" s="5">
        <v>29</v>
      </c>
      <c r="B27" s="7" t="s">
        <v>21</v>
      </c>
      <c r="C27" s="9">
        <f>SUM(F27:K27)+SUM(N27:S27)</f>
        <v>0</v>
      </c>
      <c r="E27" s="6">
        <v>29</v>
      </c>
      <c r="F27" s="11">
        <f>SUMPRODUCT((MONTH(BH_Aufwand_EUeR!A11:A55)=1)*((BH_Aufwand_EUeR!D11:D55)=29)*(BH_Aufwand_EUeR!H11:H55))</f>
        <v>0</v>
      </c>
      <c r="G27" s="11">
        <f>SUMPRODUCT((MONTH(BH_Aufwand_EUeR!A11:A55)=2)*((BH_Aufwand_EUeR!D11:D55)=29)*(BH_Aufwand_EUeR!H11:H55))</f>
        <v>0</v>
      </c>
      <c r="H27" s="11">
        <f>SUMPRODUCT((MONTH(BH_Aufwand_EUeR!A11:A55)=3)*((BH_Aufwand_EUeR!D11:D55)=29)*(BH_Aufwand_EUeR!H11:H55))</f>
        <v>0</v>
      </c>
      <c r="I27" s="11">
        <f>SUMPRODUCT((MONTH(BH_Aufwand_EUeR!A11:A55)=4)*((BH_Aufwand_EUeR!D11:D55)=29)*(BH_Aufwand_EUeR!H11:H55))</f>
        <v>0</v>
      </c>
      <c r="J27" s="11">
        <f>SUMPRODUCT((MONTH(BH_Aufwand_EUeR!A11:A55)=5)*((BH_Aufwand_EUeR!D11:D55)=29)*(BH_Aufwand_EUeR!H11:H55))</f>
        <v>0</v>
      </c>
      <c r="K27" s="11">
        <f>SUMPRODUCT((MONTH(BH_Aufwand_EUeR!A11:A55)=6)*((BH_Aufwand_EUeR!D11:D55)=29)*(BH_Aufwand_EUeR!H11:H55))</f>
        <v>0</v>
      </c>
      <c r="M27" s="6">
        <v>29</v>
      </c>
      <c r="N27" s="11">
        <f>SUMPRODUCT((MONTH(BH_Aufwand_EUeR!A11:A55)=7)*((BH_Aufwand_EUeR!D11:D55)=29)*(BH_Aufwand_EUeR!H11:H55))</f>
        <v>0</v>
      </c>
      <c r="O27" s="11">
        <f>SUMPRODUCT((MONTH(BH_Aufwand_EUeR!A11:A55)=8)*((BH_Aufwand_EUeR!D11:D55)=29)*(BH_Aufwand_EUeR!H11:H55))</f>
        <v>0</v>
      </c>
      <c r="P27" s="11">
        <f>SUMPRODUCT((MONTH(BH_Aufwand_EUeR!A11:A55)=9)*((BH_Aufwand_EUeR!D11:D55)=29)*(BH_Aufwand_EUeR!H11:H55))</f>
        <v>0</v>
      </c>
      <c r="Q27" s="11">
        <f>SUMPRODUCT((MONTH(BH_Aufwand_EUeR!A11:A55)=10)*((BH_Aufwand_EUeR!D11:D55)=29)*(BH_Aufwand_EUeR!H11:H55))</f>
        <v>0</v>
      </c>
      <c r="R27" s="11">
        <f>SUMPRODUCT((MONTH(BH_Aufwand_EUeR!A11:A55)=11)*((BH_Aufwand_EUeR!D11:D55)=29)*(BH_Aufwand_EUeR!H11:H55))</f>
        <v>0</v>
      </c>
      <c r="S27" s="11">
        <f>SUMPRODUCT((MONTH(BH_Aufwand_EUeR!A11:A55)=12)*((BH_Aufwand_EUeR!D11:D55)=29)*(BH_Aufwand_EUeR!H11:H55))</f>
        <v>0</v>
      </c>
    </row>
    <row r="28" spans="1:19" ht="12.75">
      <c r="A28" s="5">
        <v>30</v>
      </c>
      <c r="B28" s="7" t="s">
        <v>22</v>
      </c>
      <c r="C28" s="9">
        <f>SUM(F28:K28)+SUM(N28:S28)</f>
        <v>0</v>
      </c>
      <c r="E28" s="6">
        <v>30</v>
      </c>
      <c r="F28" s="11">
        <f>SUMPRODUCT((MONTH(BH_Aufwand_EUeR!A11:A55)=1)*((BH_Aufwand_EUeR!D11:D55)=30)*(BH_Aufwand_EUeR!H11:H55))</f>
        <v>0</v>
      </c>
      <c r="G28" s="11">
        <f>SUMPRODUCT((MONTH(BH_Aufwand_EUeR!A11:A55)=2)*((BH_Aufwand_EUeR!D11:D55)=30)*(BH_Aufwand_EUeR!H11:H55))</f>
        <v>0</v>
      </c>
      <c r="H28" s="11">
        <f>SUMPRODUCT((MONTH(BH_Aufwand_EUeR!A11:A55)=3)*((BH_Aufwand_EUeR!D11:D55)=30)*(BH_Aufwand_EUeR!H11:H55))</f>
        <v>0</v>
      </c>
      <c r="I28" s="11">
        <f>SUMPRODUCT((MONTH(BH_Aufwand_EUeR!A11:A55)=4)*((BH_Aufwand_EUeR!D11:D55)=30)*(BH_Aufwand_EUeR!H11:H55))</f>
        <v>0</v>
      </c>
      <c r="J28" s="11">
        <f>SUMPRODUCT((MONTH(BH_Aufwand_EUeR!A11:A55)=5)*((BH_Aufwand_EUeR!D11:D55)=30)*(BH_Aufwand_EUeR!H11:H55))</f>
        <v>0</v>
      </c>
      <c r="K28" s="11">
        <f>SUMPRODUCT((MONTH(BH_Aufwand_EUeR!A11:A55)=6)*((BH_Aufwand_EUeR!D11:D55)=30)*(BH_Aufwand_EUeR!H11:H55))</f>
        <v>0</v>
      </c>
      <c r="M28" s="6">
        <v>30</v>
      </c>
      <c r="N28" s="11">
        <f>SUMPRODUCT((MONTH(BH_Aufwand_EUeR!A11:A55)=7)*((BH_Aufwand_EUeR!D11:D55)=30)*(BH_Aufwand_EUeR!H11:H55))</f>
        <v>0</v>
      </c>
      <c r="O28" s="11">
        <f>SUMPRODUCT((MONTH(BH_Aufwand_EUeR!A11:A55)=8)*((BH_Aufwand_EUeR!D11:D55)=30)*(BH_Aufwand_EUeR!H11:H55))</f>
        <v>0</v>
      </c>
      <c r="P28" s="11">
        <f>SUMPRODUCT((MONTH(BH_Aufwand_EUeR!A11:A55)=9)*((BH_Aufwand_EUeR!D11:D55)=30)*(BH_Aufwand_EUeR!H11:H55))</f>
        <v>0</v>
      </c>
      <c r="Q28" s="11">
        <f>SUMPRODUCT((MONTH(BH_Aufwand_EUeR!A11:A55)=10)*((BH_Aufwand_EUeR!D11:D55)=30)*(BH_Aufwand_EUeR!H11:H55))</f>
        <v>0</v>
      </c>
      <c r="R28" s="11">
        <f>SUMPRODUCT((MONTH(BH_Aufwand_EUeR!A11:A55)=11)*((BH_Aufwand_EUeR!D11:D55)=30)*(BH_Aufwand_EUeR!H11:H55))</f>
        <v>0</v>
      </c>
      <c r="S28" s="11">
        <f>SUMPRODUCT((MONTH(BH_Aufwand_EUeR!A11:A55)=12)*((BH_Aufwand_EUeR!D11:D55)=30)*(BH_Aufwand_EUeR!H11:H55))</f>
        <v>0</v>
      </c>
    </row>
    <row r="29" spans="1:19" ht="12.75">
      <c r="A29" s="5"/>
      <c r="B29" s="7"/>
      <c r="C29" s="9"/>
      <c r="E29" s="6"/>
      <c r="F29" s="11"/>
      <c r="G29" s="11"/>
      <c r="H29" s="11"/>
      <c r="I29" s="11"/>
      <c r="J29" s="11"/>
      <c r="K29" s="11"/>
      <c r="M29" s="6"/>
      <c r="N29" s="11"/>
      <c r="O29" s="11"/>
      <c r="P29" s="11"/>
      <c r="Q29" s="11"/>
      <c r="R29" s="11"/>
      <c r="S29" s="11"/>
    </row>
    <row r="30" spans="1:19" ht="12.75">
      <c r="A30" s="5">
        <v>36</v>
      </c>
      <c r="B30" s="7" t="s">
        <v>23</v>
      </c>
      <c r="C30" s="9"/>
      <c r="E30" s="6">
        <v>36</v>
      </c>
      <c r="F30" s="11"/>
      <c r="G30" s="11"/>
      <c r="H30" s="11"/>
      <c r="I30" s="11"/>
      <c r="J30" s="11"/>
      <c r="K30" s="11"/>
      <c r="M30" s="6">
        <v>36</v>
      </c>
      <c r="N30" s="11"/>
      <c r="O30" s="11"/>
      <c r="P30" s="11"/>
      <c r="Q30" s="11"/>
      <c r="R30" s="11"/>
      <c r="S30" s="11"/>
    </row>
    <row r="31" spans="1:19" ht="12.75">
      <c r="A31" s="5">
        <v>39</v>
      </c>
      <c r="B31" s="7" t="s">
        <v>24</v>
      </c>
      <c r="C31" s="9">
        <f>SUM(F31:K31)+SUM(N31:S31)</f>
        <v>0</v>
      </c>
      <c r="E31" s="6">
        <v>39</v>
      </c>
      <c r="F31" s="11">
        <f>SUMPRODUCT((MONTH(BH_Aufwand_EUeR!A11:A55)=1)*((BH_Aufwand_EUeR!D11:D55)=39)*(BH_Aufwand_EUeR!H11:H55))</f>
        <v>0</v>
      </c>
      <c r="G31" s="11">
        <f>SUMPRODUCT((MONTH(BH_Aufwand_EUeR!A11:A55)=2)*((BH_Aufwand_EUeR!D11:D55)=39)*(BH_Aufwand_EUeR!H11:H55))</f>
        <v>0</v>
      </c>
      <c r="H31" s="11">
        <f>SUMPRODUCT((MONTH(BH_Aufwand_EUeR!A11:A55)=3)*((BH_Aufwand_EUeR!D11:D55)=39)*(BH_Aufwand_EUeR!H11:H55))</f>
        <v>0</v>
      </c>
      <c r="I31" s="11">
        <f>SUMPRODUCT((MONTH(BH_Aufwand_EUeR!A11:A55)=4)*((BH_Aufwand_EUeR!D11:D55)=39)*(BH_Aufwand_EUeR!H11:H55))</f>
        <v>0</v>
      </c>
      <c r="J31" s="11">
        <f>SUMPRODUCT((MONTH(BH_Aufwand_EUeR!A11:A94)=5)*((BH_Aufwand_EUeR!D11:D94)=39)*(BH_Aufwand_EUeR!H11:H94))</f>
        <v>0</v>
      </c>
      <c r="K31" s="11">
        <f>SUMPRODUCT((MONTH(BH_Aufwand_EUeR!A11:A94)=6)*((BH_Aufwand_EUeR!D11:D94)=39)*(BH_Aufwand_EUeR!H11:H94))</f>
        <v>0</v>
      </c>
      <c r="M31" s="6">
        <v>39</v>
      </c>
      <c r="N31" s="11">
        <f>SUMPRODUCT((MONTH(BH_Aufwand_EUeR!A11:A94)=7)*((BH_Aufwand_EUeR!D11:D94)=39)*(BH_Aufwand_EUeR!H11:H94))</f>
        <v>0</v>
      </c>
      <c r="O31" s="11">
        <f>SUMPRODUCT((MONTH(BH_Aufwand_EUeR!A11:A94)=8)*((BH_Aufwand_EUeR!D11:D94)=39)*(BH_Aufwand_EUeR!H11:H94))</f>
        <v>0</v>
      </c>
      <c r="P31" s="11">
        <f>SUMPRODUCT((MONTH(BH_Aufwand_EUeR!A11:A94)=9)*((BH_Aufwand_EUeR!D11:D94)=39)*(BH_Aufwand_EUeR!H11:H94))</f>
        <v>0</v>
      </c>
      <c r="Q31" s="11">
        <f>SUMPRODUCT((MONTH(BH_Aufwand_EUeR!A11:A94)=10)*((BH_Aufwand_EUeR!D11:D94)=39)*(BH_Aufwand_EUeR!H11:H94))</f>
        <v>0</v>
      </c>
      <c r="R31" s="11">
        <f>SUMPRODUCT((MONTH(BH_Aufwand_EUeR!A11:A94)=11)*((BH_Aufwand_EUeR!D11:D94)=39)*(BH_Aufwand_EUeR!H11:H94))</f>
        <v>0</v>
      </c>
      <c r="S31" s="11">
        <f>SUMPRODUCT((MONTH(BH_Aufwand_EUeR!A11:A94)=12)*((BH_Aufwand_EUeR!D11:D94)=39)*(BH_Aufwand_EUeR!H11:H94))</f>
        <v>0</v>
      </c>
    </row>
    <row r="32" spans="1:19" ht="12.75">
      <c r="A32" s="5">
        <v>44</v>
      </c>
      <c r="B32" s="7" t="s">
        <v>25</v>
      </c>
      <c r="C32" s="9">
        <f>SUM(F32:K32)+SUM(N32:S32)</f>
        <v>0</v>
      </c>
      <c r="E32" s="6">
        <v>44</v>
      </c>
      <c r="F32" s="11">
        <f>SUMPRODUCT((MONTH(BH_Aufwand_EUeR!A12:A56)=1)*((BH_Aufwand_EUeR!D12:D56)=44)*(BH_Aufwand_EUeR!H12:H56))</f>
        <v>0</v>
      </c>
      <c r="G32" s="11">
        <f>SUMPRODUCT((MONTH(BH_Aufwand_EUeR!A12:A56)=2)*((BH_Aufwand_EUeR!D12:D56)=44)*(BH_Aufwand_EUeR!H12:H56))</f>
        <v>0</v>
      </c>
      <c r="H32" s="11">
        <f>SUMPRODUCT((MONTH(BH_Aufwand_EUeR!A12:A56)=3)*((BH_Aufwand_EUeR!D12:D56)=44)*(BH_Aufwand_EUeR!H12:H56))</f>
        <v>0</v>
      </c>
      <c r="I32" s="11">
        <f>SUMPRODUCT((MONTH(BH_Aufwand_EUeR!A12:A56)=4)*((BH_Aufwand_EUeR!D12:D56)=44)*(BH_Aufwand_EUeR!H12:H56))</f>
        <v>0</v>
      </c>
      <c r="J32" s="11">
        <f>SUMPRODUCT((MONTH(BH_Aufwand_EUeR!A12:A56)=5)*((BH_Aufwand_EUeR!D12:D56)=44)*(BH_Aufwand_EUeR!H12:H56))</f>
        <v>0</v>
      </c>
      <c r="K32" s="11">
        <f>SUMPRODUCT((MONTH(BH_Aufwand_EUeR!A12:A56)=6)*((BH_Aufwand_EUeR!D12:D56)=44)*(BH_Aufwand_EUeR!H12:H56))</f>
        <v>0</v>
      </c>
      <c r="M32" s="6">
        <v>44</v>
      </c>
      <c r="N32" s="11">
        <f>SUMPRODUCT((MONTH(BH_Aufwand_EUeR!A12:A56)=7)*((BH_Aufwand_EUeR!D12:D56)=44)*(BH_Aufwand_EUeR!H12:H56))</f>
        <v>0</v>
      </c>
      <c r="O32" s="11">
        <f>SUMPRODUCT((MONTH(BH_Aufwand_EUeR!A12:A56)=8)*((BH_Aufwand_EUeR!D12:D56)=44)*(BH_Aufwand_EUeR!H12:H56))</f>
        <v>0</v>
      </c>
      <c r="P32" s="11">
        <f>SUMPRODUCT((MONTH(BH_Aufwand_EUeR!A12:A56)=9)*((BH_Aufwand_EUeR!D12:D56)=44)*(BH_Aufwand_EUeR!H12:H56))</f>
        <v>0</v>
      </c>
      <c r="Q32" s="11"/>
      <c r="R32" s="11">
        <f>SUMPRODUCT((MONTH(BH_Aufwand_EUeR!A12:A56)=11)*((BH_Aufwand_EUeR!D12:D56)=44)*(BH_Aufwand_EUeR!H12:H56))</f>
        <v>0</v>
      </c>
      <c r="S32" s="11">
        <f>SUMPRODUCT((MONTH(BH_Aufwand_EUeR!A12:A60)=12)*((BH_Aufwand_EUeR!D12:D60)=44)*(BH_Aufwand_EUeR!H12:H60))</f>
        <v>0</v>
      </c>
    </row>
    <row r="33" spans="1:19" ht="12.75">
      <c r="A33" s="5">
        <v>45</v>
      </c>
      <c r="B33" s="7" t="s">
        <v>26</v>
      </c>
      <c r="C33" s="9">
        <f>SUM(F33:K33)+SUM(N33:S33)</f>
        <v>0</v>
      </c>
      <c r="E33" s="6">
        <v>45</v>
      </c>
      <c r="F33" s="11">
        <f>SUMPRODUCT((MONTH(BH_Aufwand_EUeR!A12:A56)=1)*((BH_Aufwand_EUeR!D12:D56)=45)*(BH_Aufwand_EUeR!H12:H56))</f>
        <v>0</v>
      </c>
      <c r="G33" s="11">
        <f>SUMPRODUCT((MONTH(BH_Aufwand_EUeR!A12:A56)=2)*((BH_Aufwand_EUeR!D12:D56)=45)*(BH_Aufwand_EUeR!H12:H56))</f>
        <v>0</v>
      </c>
      <c r="H33" s="11">
        <f>SUMPRODUCT((MONTH(BH_Aufwand_EUeR!A12:A56)=3)*((BH_Aufwand_EUeR!D12:D56)=45)*(BH_Aufwand_EUeR!H12:H56))</f>
        <v>0</v>
      </c>
      <c r="I33" s="11">
        <f>SUMPRODUCT((MONTH(BH_Aufwand_EUeR!A12:A56)=4)*((BH_Aufwand_EUeR!D12:D56)=45)*(BH_Aufwand_EUeR!H12:H56))</f>
        <v>0</v>
      </c>
      <c r="J33" s="11">
        <f>SUMPRODUCT((MONTH(BH_Aufwand_EUeR!A12:A56)=5)*((BH_Aufwand_EUeR!D12:D56)=45)*(BH_Aufwand_EUeR!H12:H56))</f>
        <v>0</v>
      </c>
      <c r="K33" s="11">
        <f>SUMPRODUCT((MONTH(BH_Aufwand_EUeR!A12:A56)=6)*((BH_Aufwand_EUeR!D12:D56)=45)*(BH_Aufwand_EUeR!H12:H56))</f>
        <v>0</v>
      </c>
      <c r="M33" s="6">
        <v>45</v>
      </c>
      <c r="N33" s="11">
        <f>SUMPRODUCT((MONTH(BH_Aufwand_EUeR!A12:A56)=7)*((BH_Aufwand_EUeR!D12:D56)=45)*(BH_Aufwand_EUeR!H12:H56))</f>
        <v>0</v>
      </c>
      <c r="O33" s="11">
        <f>SUMPRODUCT((MONTH(BH_Aufwand_EUeR!A12:A56)=8)*((BH_Aufwand_EUeR!D12:D56)=45)*(BH_Aufwand_EUeR!H12:H56))</f>
        <v>0</v>
      </c>
      <c r="P33" s="11">
        <f>SUMPRODUCT((MONTH(BH_Aufwand_EUeR!A12:A56)=9)*((BH_Aufwand_EUeR!D12:D56)=45)*(BH_Aufwand_EUeR!H12:H56))</f>
        <v>0</v>
      </c>
      <c r="Q33" s="11">
        <f>SUMPRODUCT((MONTH(BH_Aufwand_EUeR!A12:A56)=10)*((BH_Aufwand_EUeR!D12:D56)=45)*(BH_Aufwand_EUeR!H12:H56))</f>
        <v>0</v>
      </c>
      <c r="R33" s="11">
        <f>SUMPRODUCT((MONTH(BH_Aufwand_EUeR!A12:A56)=11)*((BH_Aufwand_EUeR!D12:D56)=45)*(BH_Aufwand_EUeR!H12:H56))</f>
        <v>0</v>
      </c>
      <c r="S33" s="11">
        <f>SUMPRODUCT((MONTH(BH_Aufwand_EUeR!A12:A56)=12)*((BH_Aufwand_EUeR!D12:D56)=45)*(BH_Aufwand_EUeR!H12:H56))</f>
        <v>0</v>
      </c>
    </row>
    <row r="34" spans="1:19" ht="12.75">
      <c r="A34" s="5"/>
      <c r="B34" s="7"/>
      <c r="C34" s="9"/>
      <c r="E34" s="6"/>
      <c r="F34" s="11"/>
      <c r="G34" s="11"/>
      <c r="H34" s="11"/>
      <c r="I34" s="11"/>
      <c r="J34" s="11"/>
      <c r="K34" s="11"/>
      <c r="M34" s="6"/>
      <c r="N34" s="11"/>
      <c r="O34" s="11"/>
      <c r="P34" s="11"/>
      <c r="Q34" s="11"/>
      <c r="R34" s="11"/>
      <c r="S34" s="11"/>
    </row>
    <row r="35" spans="1:19" ht="12.75">
      <c r="A35" s="5"/>
      <c r="B35" s="7"/>
      <c r="C35" s="9"/>
      <c r="E35" s="6"/>
      <c r="F35" s="11"/>
      <c r="G35" s="11"/>
      <c r="H35" s="11"/>
      <c r="I35" s="11"/>
      <c r="J35" s="11"/>
      <c r="K35" s="11"/>
      <c r="M35" s="6"/>
      <c r="N35" s="11"/>
      <c r="O35" s="11"/>
      <c r="P35" s="11"/>
      <c r="Q35" s="11"/>
      <c r="R35" s="11"/>
      <c r="S35" s="11"/>
    </row>
    <row r="36" spans="1:19" ht="12.75">
      <c r="A36" s="5">
        <v>48</v>
      </c>
      <c r="B36" s="7" t="s">
        <v>27</v>
      </c>
      <c r="C36" s="9">
        <f>SUM(F36:K36)+SUM(N36:S36)</f>
        <v>0</v>
      </c>
      <c r="E36" s="6">
        <v>48</v>
      </c>
      <c r="F36" s="11">
        <f>SUMPRODUCT((MONTH(BH_Aufwand_EUeR!A11:A55)=1)*(BH_Aufwand_EUeR!I11:I55))</f>
        <v>0</v>
      </c>
      <c r="G36" s="11">
        <f>SUMPRODUCT((MONTH(BH_Aufwand_EUeR!A11:A55)=2)*(BH_Aufwand_EUeR!I11:I55))</f>
        <v>0</v>
      </c>
      <c r="H36" s="11">
        <f>SUMPRODUCT((MONTH(BH_Aufwand_EUeR!A11:A55)=3)*(BH_Aufwand_EUeR!I11:I55))</f>
        <v>0</v>
      </c>
      <c r="I36" s="11">
        <f>SUMPRODUCT((MONTH(BH_Aufwand_EUeR!A11:A94)=4)*(BH_Aufwand_EUeR!I11:I94))</f>
        <v>0</v>
      </c>
      <c r="J36" s="11">
        <f>SUMPRODUCT((MONTH(BH_Aufwand_EUeR!A11:A94)=5)*(BH_Aufwand_EUeR!I11:I94))</f>
        <v>0</v>
      </c>
      <c r="K36" s="11">
        <f>SUMPRODUCT((MONTH(BH_Aufwand_EUeR!A11:A94)=6)*(BH_Aufwand_EUeR!I11:I94))</f>
        <v>0</v>
      </c>
      <c r="M36" s="6">
        <v>48</v>
      </c>
      <c r="N36" s="11">
        <f>SUMPRODUCT((MONTH(BH_Aufwand_EUeR!A11:A94)=7)*(BH_Aufwand_EUeR!I11:I94))</f>
        <v>0</v>
      </c>
      <c r="O36" s="11">
        <f>SUMPRODUCT((MONTH(BH_Aufwand_EUeR!A11:A99)=8)*(BH_Aufwand_EUeR!I11:I99))</f>
        <v>0</v>
      </c>
      <c r="P36" s="11">
        <f>SUMPRODUCT((MONTH(BH_Aufwand_EUeR!A11:A99)=9)*(BH_Aufwand_EUeR!I11:I99))</f>
        <v>0</v>
      </c>
      <c r="Q36" s="11">
        <f>SUMPRODUCT((MONTH(BH_Aufwand_EUeR!A11:A99)=10)*(BH_Aufwand_EUeR!I11:I99))</f>
        <v>0</v>
      </c>
      <c r="R36" s="11">
        <f>SUMPRODUCT((MONTH(BH_Aufwand_EUeR!A11:A99)=11)*(BH_Aufwand_EUeR!I11:I99))</f>
        <v>0</v>
      </c>
      <c r="S36" s="11">
        <f>SUMPRODUCT((MONTH(BH_Aufwand_EUeR!A11:A99)=12)*(BH_Aufwand_EUeR!I11:I99))</f>
        <v>0</v>
      </c>
    </row>
    <row r="37" spans="1:19" ht="12.75">
      <c r="A37" s="5">
        <v>49</v>
      </c>
      <c r="B37" s="7" t="s">
        <v>28</v>
      </c>
      <c r="C37" s="9">
        <f>SUM(F37:K37)+SUM(N37:S37)</f>
        <v>0</v>
      </c>
      <c r="E37" s="6">
        <v>49</v>
      </c>
      <c r="F37" s="11"/>
      <c r="G37" s="11">
        <v>0</v>
      </c>
      <c r="H37" s="11"/>
      <c r="I37" s="11"/>
      <c r="J37" s="11"/>
      <c r="K37" s="11"/>
      <c r="M37" s="6">
        <v>49</v>
      </c>
      <c r="N37" s="11"/>
      <c r="O37" s="11"/>
      <c r="P37" s="11"/>
      <c r="Q37" s="11"/>
      <c r="R37" s="11"/>
      <c r="S37" s="11"/>
    </row>
    <row r="38" spans="1:19" ht="12.75">
      <c r="A38" s="5">
        <v>50</v>
      </c>
      <c r="B38" s="7" t="s">
        <v>29</v>
      </c>
      <c r="C38" s="9"/>
      <c r="E38" s="6">
        <v>50</v>
      </c>
      <c r="F38" s="11"/>
      <c r="G38" s="11"/>
      <c r="H38" s="11"/>
      <c r="I38" s="11"/>
      <c r="J38" s="11"/>
      <c r="K38" s="11"/>
      <c r="M38" s="6">
        <v>50</v>
      </c>
      <c r="N38" s="11"/>
      <c r="O38" s="11"/>
      <c r="P38" s="11"/>
      <c r="Q38" s="11"/>
      <c r="R38" s="11"/>
      <c r="S38" s="11"/>
    </row>
    <row r="39" spans="1:19" ht="12.75">
      <c r="A39" s="5">
        <v>51</v>
      </c>
      <c r="B39" s="7" t="s">
        <v>30</v>
      </c>
      <c r="C39" s="9">
        <f>SUM(F39:K39)+SUM(N39:S39)</f>
        <v>0</v>
      </c>
      <c r="E39" s="6">
        <v>51</v>
      </c>
      <c r="F39" s="11">
        <f>SUMPRODUCT((MONTH(BH_Aufwand_EUeR!A12:A56)=1)*((BH_Aufwand_EUeR!D12:D56)=51)*(BH_Aufwand_EUeR!H12:H56))</f>
        <v>0</v>
      </c>
      <c r="G39" s="11">
        <f>SUMPRODUCT((MONTH(BH_Aufwand_EUeR!A12:A56)=2)*((BH_Aufwand_EUeR!D12:D56)=51)*(BH_Aufwand_EUeR!H12:H56))</f>
        <v>0</v>
      </c>
      <c r="H39" s="11">
        <f>SUMPRODUCT((MONTH(BH_Aufwand_EUeR!A12:A56)=3)*((BH_Aufwand_EUeR!D12:D56)=51)*(BH_Aufwand_EUeR!H12:H56))</f>
        <v>0</v>
      </c>
      <c r="I39" s="11">
        <f>SUMPRODUCT((MONTH(BH_Aufwand_EUeR!A12:A56)=4)*((BH_Aufwand_EUeR!D12:D56)=51)*(BH_Aufwand_EUeR!H12:H56))</f>
        <v>0</v>
      </c>
      <c r="J39" s="11">
        <f>SUMPRODUCT((MONTH(BH_Aufwand_EUeR!A12:A56)=5)*((BH_Aufwand_EUeR!D12:D56)=51)*(BH_Aufwand_EUeR!H12:H56))</f>
        <v>0</v>
      </c>
      <c r="K39" s="11">
        <f>SUMPRODUCT((MONTH(BH_Aufwand_EUeR!A12:A56)=6)*((BH_Aufwand_EUeR!D12:D56)=51)*(BH_Aufwand_EUeR!H12:H56))</f>
        <v>0</v>
      </c>
      <c r="M39" s="6">
        <v>51</v>
      </c>
      <c r="N39" s="11">
        <f>SUMPRODUCT((MONTH(BH_Aufwand_EUeR!A12:A56)=7)*((BH_Aufwand_EUeR!D12:D56)=51)*(BH_Aufwand_EUeR!H12:H56))</f>
        <v>0</v>
      </c>
      <c r="O39" s="11">
        <f>SUMPRODUCT((MONTH(BH_Aufwand_EUeR!A12:A56)=8)*((BH_Aufwand_EUeR!D12:D56)=51)*(BH_Aufwand_EUeR!H12:H56))</f>
        <v>0</v>
      </c>
      <c r="P39" s="11">
        <f>SUMPRODUCT((MONTH(BH_Aufwand_EUeR!A12:A56)=9)*((BH_Aufwand_EUeR!D12:D56)=51)*(BH_Aufwand_EUeR!H12:H56))</f>
        <v>0</v>
      </c>
      <c r="Q39" s="11">
        <f>SUMPRODUCT((MONTH(BH_Aufwand_EUeR!A12:A56)=10)*((BH_Aufwand_EUeR!D12:D56)=51)*(BH_Aufwand_EUeR!H12:H56))</f>
        <v>0</v>
      </c>
      <c r="R39" s="11">
        <f>SUMPRODUCT((MONTH(BH_Aufwand_EUeR!A12:A56)=11)*((BH_Aufwand_EUeR!D12:D56)=51)*(BH_Aufwand_EUeR!H12:H56))</f>
        <v>0</v>
      </c>
      <c r="S39" s="11">
        <f>SUMPRODUCT((MONTH(BH_Aufwand_EUeR!A12:A56)=12)*((BH_Aufwand_EUeR!D12:D56)=51)*(BH_Aufwand_EUeR!H12:H56))</f>
        <v>0</v>
      </c>
    </row>
    <row r="40" spans="1:19" ht="12.75">
      <c r="A40" s="5"/>
      <c r="B40" s="7"/>
      <c r="C40" s="9"/>
      <c r="E40" s="6"/>
      <c r="F40" s="11"/>
      <c r="G40" s="11"/>
      <c r="H40" s="11"/>
      <c r="I40" s="11"/>
      <c r="J40" s="11"/>
      <c r="K40" s="11"/>
      <c r="M40" s="6"/>
      <c r="N40" s="11"/>
      <c r="O40" s="11"/>
      <c r="P40" s="11"/>
      <c r="Q40" s="11"/>
      <c r="R40" s="11"/>
      <c r="S40" s="11"/>
    </row>
    <row r="41" spans="1:19" ht="12.75">
      <c r="A41" s="5">
        <v>61</v>
      </c>
      <c r="B41" s="7" t="s">
        <v>31</v>
      </c>
      <c r="C41" s="9">
        <f>SUM(F41:K41)+SUM(N41:S41)</f>
        <v>0</v>
      </c>
      <c r="E41" s="6">
        <v>61</v>
      </c>
      <c r="F41" s="11">
        <f>SUMPRODUCT((MONTH(BH_Aufwand_EUeR!A11:A58)=1)*((BH_Aufwand_EUeR!D11:D58)=61)*(BH_Aufwand_EUeR!H11:H58))</f>
        <v>0</v>
      </c>
      <c r="G41" s="11">
        <f>SUMPRODUCT((MONTH(BH_Aufwand_EUeR!A11:A58)=2)*((BH_Aufwand_EUeR!D11:D58)=61)*(BH_Aufwand_EUeR!H11:H58))</f>
        <v>0</v>
      </c>
      <c r="H41" s="11">
        <f>SUMPRODUCT((MONTH(BH_Aufwand_EUeR!A11:A58)=3)*((BH_Aufwand_EUeR!D11:D58)=61)*(BH_Aufwand_EUeR!H11:H58))</f>
        <v>0</v>
      </c>
      <c r="I41" s="11">
        <f>SUMPRODUCT((MONTH(BH_Aufwand_EUeR!A11:A58)=4)*((BH_Aufwand_EUeR!D11:D58)=61)*(BH_Aufwand_EUeR!H11:H58))</f>
        <v>0</v>
      </c>
      <c r="J41" s="11">
        <f>SUMPRODUCT((MONTH(BH_Aufwand_EUeR!A11:A58)=5)*((BH_Aufwand_EUeR!D11:D58)=61)*(BH_Aufwand_EUeR!H11:H58))</f>
        <v>0</v>
      </c>
      <c r="K41" s="11">
        <f>SUMPRODUCT((MONTH(BH_Aufwand_EUeR!A11:A58)=6)*((BH_Aufwand_EUeR!D11:D58)=61)*(BH_Aufwand_EUeR!H11:H58))</f>
        <v>0</v>
      </c>
      <c r="M41" s="6">
        <v>61</v>
      </c>
      <c r="N41" s="11">
        <f>SUMPRODUCT((MONTH(BH_Aufwand_EUeR!A11:A58)=7)*((BH_Aufwand_EUeR!D11:D58)=61)*(BH_Aufwand_EUeR!H11:H58))</f>
        <v>0</v>
      </c>
      <c r="O41" s="11">
        <f>SUMPRODUCT((MONTH(BH_Aufwand_EUeR!A11:A58)=8)*((BH_Aufwand_EUeR!D11:D58)=61)*(BH_Aufwand_EUeR!H11:H58))</f>
        <v>0</v>
      </c>
      <c r="P41" s="11">
        <f>SUMPRODUCT((MONTH(BH_Aufwand_EUeR!A11:A94)=9)*((BH_Aufwand_EUeR!D11:D94)=61)*(BH_Aufwand_EUeR!H11:H94))</f>
        <v>0</v>
      </c>
      <c r="Q41" s="11">
        <f>SUMPRODUCT((MONTH(BH_Aufwand_EUeR!A11:A94)=10)*((BH_Aufwand_EUeR!D11:D94)=61)*(BH_Aufwand_EUeR!H11:H94))</f>
        <v>0</v>
      </c>
      <c r="R41" s="11">
        <f>SUMPRODUCT((MONTH(BH_Aufwand_EUeR!A11:A94)=11)*((BH_Aufwand_EUeR!D11:D94)=61)*(BH_Aufwand_EUeR!H11:H94))</f>
        <v>0</v>
      </c>
      <c r="S41" s="11">
        <f>SUMPRODUCT((MONTH(BH_Aufwand_EUeR!A11:A58)=12)*((BH_Aufwand_EUeR!D11:D58)=61)*(BH_Aufwand_EUeR!H11:H58))</f>
        <v>0</v>
      </c>
    </row>
    <row r="42" spans="1:19" ht="12.75">
      <c r="A42" s="7"/>
      <c r="B42" s="7"/>
      <c r="C42" s="9"/>
      <c r="E42" s="8"/>
      <c r="F42" s="7"/>
      <c r="G42" s="7"/>
      <c r="H42" s="7"/>
      <c r="I42" s="7"/>
      <c r="J42" s="7"/>
      <c r="K42" s="7"/>
      <c r="M42" s="8"/>
      <c r="N42" s="7"/>
      <c r="O42" s="7"/>
      <c r="P42" s="7"/>
      <c r="Q42" s="7"/>
      <c r="R42" s="7"/>
      <c r="S42" s="7"/>
    </row>
    <row r="43" ht="12.75">
      <c r="E43" s="16"/>
    </row>
    <row r="44" ht="12.75">
      <c r="E44" s="16"/>
    </row>
    <row r="46" ht="12.75">
      <c r="A46" s="17" t="s">
        <v>32</v>
      </c>
    </row>
    <row r="47" ht="12.75">
      <c r="A47" s="17" t="s">
        <v>33</v>
      </c>
    </row>
    <row r="48" ht="12.75">
      <c r="A48" s="1" t="s">
        <v>34</v>
      </c>
    </row>
    <row r="49" ht="12.75">
      <c r="A49" s="1" t="s">
        <v>35</v>
      </c>
    </row>
    <row r="50" ht="12.75">
      <c r="A50" s="1" t="s">
        <v>36</v>
      </c>
    </row>
    <row r="51" ht="12.75">
      <c r="A51" s="17" t="s">
        <v>37</v>
      </c>
    </row>
    <row r="53" ht="12.75">
      <c r="A53" s="17" t="s">
        <v>38</v>
      </c>
    </row>
    <row r="54" ht="12.75">
      <c r="A54" s="1" t="s">
        <v>39</v>
      </c>
    </row>
    <row r="55" ht="12.75">
      <c r="A55" s="1" t="s">
        <v>40</v>
      </c>
    </row>
    <row r="56" ht="12.75">
      <c r="A56" s="1" t="s">
        <v>41</v>
      </c>
    </row>
    <row r="57" ht="12.75">
      <c r="A57" s="17" t="s">
        <v>42</v>
      </c>
    </row>
    <row r="59" spans="1:2" ht="12.75">
      <c r="A59"/>
      <c r="B59" s="18" t="s">
        <v>43</v>
      </c>
    </row>
    <row r="60" spans="1:2" ht="12.75">
      <c r="A60"/>
      <c r="B60" s="19" t="s">
        <v>44</v>
      </c>
    </row>
    <row r="61" spans="1:2" ht="12.75">
      <c r="A61"/>
      <c r="B61" s="20">
        <v>4917621008967</v>
      </c>
    </row>
    <row r="63" ht="12.75">
      <c r="B63" s="21" t="s">
        <v>45</v>
      </c>
    </row>
  </sheetData>
  <sheetProtection selectLockedCells="1" selectUnlockedCells="1"/>
  <hyperlinks>
    <hyperlink ref="B60" r:id="rId1" display="office@arminfischer.com"/>
    <hyperlink ref="B63" r:id="rId2" display="http://Computerservice.arminfischer.com"/>
  </hyperlinks>
  <printOptions gridLines="1"/>
  <pageMargins left="0.7479166666666667" right="0.7479166666666667" top="0.9840277777777777" bottom="0.9840277777777777" header="0.5118055555555555" footer="0"/>
  <pageSetup horizontalDpi="300" verticalDpi="300" orientation="landscape" paperSize="9"/>
  <headerFooter alignWithMargins="0">
    <oddFooter>&amp;C&amp;10Seite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selection activeCell="A12" sqref="A12"/>
    </sheetView>
  </sheetViews>
  <sheetFormatPr defaultColWidth="9.77734375" defaultRowHeight="15"/>
  <cols>
    <col min="1" max="1" width="9.6640625" style="1" customWidth="1"/>
    <col min="2" max="2" width="25.5546875" style="1" customWidth="1"/>
    <col min="3" max="3" width="34.10546875" style="1" customWidth="1"/>
    <col min="4" max="11" width="9.6640625" style="1" customWidth="1"/>
    <col min="12" max="12" width="25.5546875" style="1" customWidth="1"/>
    <col min="13" max="13" width="34.10546875" style="1" customWidth="1"/>
    <col min="14" max="14" width="9.6640625" style="1" customWidth="1"/>
    <col min="15" max="18" width="34.10546875" style="1" customWidth="1"/>
    <col min="19" max="16384" width="9.6640625" style="1" customWidth="1"/>
  </cols>
  <sheetData>
    <row r="1" s="30" customFormat="1" ht="12.75">
      <c r="B1" s="31" t="s">
        <v>87</v>
      </c>
    </row>
    <row r="2" spans="2:5" s="30" customFormat="1" ht="12.75">
      <c r="B2" s="32" t="s">
        <v>88</v>
      </c>
      <c r="E2" s="30">
        <v>2021</v>
      </c>
    </row>
    <row r="3" s="30" customFormat="1" ht="12.75"/>
    <row r="4" s="30" customFormat="1" ht="12.75"/>
    <row r="5" s="30" customFormat="1" ht="12.75"/>
    <row r="6" s="30" customFormat="1" ht="12.75"/>
    <row r="7" s="30" customFormat="1" ht="12.75">
      <c r="B7" s="33" t="s">
        <v>520</v>
      </c>
    </row>
    <row r="8" s="30" customFormat="1" ht="12.75"/>
    <row r="9" spans="1:18" ht="12.75">
      <c r="A9" s="1" t="s">
        <v>92</v>
      </c>
      <c r="B9" s="1" t="s">
        <v>521</v>
      </c>
      <c r="C9" s="1" t="s">
        <v>522</v>
      </c>
      <c r="D9" s="1" t="s">
        <v>523</v>
      </c>
      <c r="E9" s="1" t="s">
        <v>524</v>
      </c>
      <c r="F9" s="1" t="s">
        <v>525</v>
      </c>
      <c r="G9" s="1" t="s">
        <v>526</v>
      </c>
      <c r="H9" s="1" t="s">
        <v>527</v>
      </c>
      <c r="J9" s="1" t="s">
        <v>528</v>
      </c>
      <c r="L9" s="1" t="s">
        <v>529</v>
      </c>
      <c r="M9" s="1" t="s">
        <v>142</v>
      </c>
      <c r="N9" s="1" t="s">
        <v>144</v>
      </c>
      <c r="O9" s="1" t="s">
        <v>530</v>
      </c>
      <c r="P9" s="1" t="s">
        <v>531</v>
      </c>
      <c r="Q9" s="1" t="s">
        <v>147</v>
      </c>
      <c r="R9" s="1" t="s">
        <v>532</v>
      </c>
    </row>
    <row r="10" spans="1:8" ht="12.75">
      <c r="A10" s="42"/>
      <c r="G10" s="42"/>
      <c r="H10" s="42"/>
    </row>
    <row r="11" spans="1:8" ht="12.75">
      <c r="A11" s="42">
        <v>1</v>
      </c>
      <c r="E11" s="4"/>
      <c r="F11" s="4"/>
      <c r="G11" s="42"/>
      <c r="H11" s="42"/>
    </row>
    <row r="12" spans="1:8" ht="12.75">
      <c r="A12" s="42">
        <v>2</v>
      </c>
      <c r="E12" s="4"/>
      <c r="F12" s="4"/>
      <c r="G12" s="42"/>
      <c r="H12" s="42"/>
    </row>
    <row r="13" spans="1:8" ht="12.75">
      <c r="A13" s="42">
        <v>3</v>
      </c>
      <c r="E13" s="4"/>
      <c r="F13" s="4"/>
      <c r="G13" s="42"/>
      <c r="H13" s="42"/>
    </row>
    <row r="14" spans="1:8" ht="12.75">
      <c r="A14" s="42">
        <v>4</v>
      </c>
      <c r="E14" s="4"/>
      <c r="F14" s="4"/>
      <c r="G14" s="42"/>
      <c r="H14" s="42"/>
    </row>
    <row r="15" spans="1:8" ht="12.75">
      <c r="A15" s="42">
        <v>5</v>
      </c>
      <c r="C15" s="45"/>
      <c r="E15" s="4"/>
      <c r="F15" s="4"/>
      <c r="G15" s="42"/>
      <c r="H15" s="42"/>
    </row>
    <row r="16" spans="1:8" ht="12.75">
      <c r="A16" s="42">
        <v>6</v>
      </c>
      <c r="E16" s="4"/>
      <c r="F16" s="4"/>
      <c r="G16" s="42"/>
      <c r="H16" s="42"/>
    </row>
    <row r="17" spans="1:8" ht="12.75">
      <c r="A17" s="42">
        <v>7</v>
      </c>
      <c r="E17" s="4"/>
      <c r="F17" s="4"/>
      <c r="G17" s="42"/>
      <c r="H17" s="42"/>
    </row>
    <row r="18" spans="1:8" ht="12.75">
      <c r="A18" s="42">
        <v>8</v>
      </c>
      <c r="E18" s="4"/>
      <c r="F18" s="4"/>
      <c r="G18" s="42"/>
      <c r="H18" s="42"/>
    </row>
    <row r="19" spans="1:8" ht="12.75">
      <c r="A19" s="42">
        <v>9</v>
      </c>
      <c r="E19" s="4"/>
      <c r="F19" s="4"/>
      <c r="G19" s="42"/>
      <c r="H19" s="42"/>
    </row>
    <row r="20" spans="1:8" ht="12.75">
      <c r="A20" s="42">
        <v>10</v>
      </c>
      <c r="E20" s="4"/>
      <c r="F20" s="4"/>
      <c r="G20" s="42"/>
      <c r="H20" s="42"/>
    </row>
    <row r="21" spans="1:8" ht="12.75">
      <c r="A21" s="42"/>
      <c r="E21" s="4"/>
      <c r="F21" s="4"/>
      <c r="G21" s="42"/>
      <c r="H21" s="42"/>
    </row>
    <row r="22" spans="1:8" ht="12.75">
      <c r="A22" s="42"/>
      <c r="E22" s="4"/>
      <c r="F22" s="4"/>
      <c r="G22" s="42"/>
      <c r="H22" s="42"/>
    </row>
    <row r="23" spans="1:8" ht="12.75">
      <c r="A23" s="42"/>
      <c r="E23" s="4"/>
      <c r="F23" s="4"/>
      <c r="G23" s="42"/>
      <c r="H23" s="42"/>
    </row>
    <row r="24" spans="1:8" ht="12.75">
      <c r="A24" s="42"/>
      <c r="E24" s="4"/>
      <c r="F24" s="4"/>
      <c r="G24" s="42"/>
      <c r="H24" s="42"/>
    </row>
    <row r="25" spans="1:8" ht="12.75">
      <c r="A25" s="42"/>
      <c r="E25" s="4"/>
      <c r="F25" s="4"/>
      <c r="G25" s="42"/>
      <c r="H25" s="42"/>
    </row>
    <row r="26" spans="1:8" ht="12.75">
      <c r="A26" s="42"/>
      <c r="E26" s="4"/>
      <c r="F26" s="4"/>
      <c r="G26" s="42"/>
      <c r="H26" s="42"/>
    </row>
    <row r="27" spans="1:8" ht="12.75">
      <c r="A27" s="42"/>
      <c r="E27" s="4"/>
      <c r="F27" s="4"/>
      <c r="G27" s="42"/>
      <c r="H27" s="42"/>
    </row>
    <row r="28" spans="1:8" ht="12.75">
      <c r="A28" s="42"/>
      <c r="E28" s="4"/>
      <c r="F28" s="4"/>
      <c r="G28" s="42"/>
      <c r="H28" s="42"/>
    </row>
    <row r="29" spans="1:8" ht="12.75">
      <c r="A29" s="42"/>
      <c r="E29" s="4"/>
      <c r="F29" s="4"/>
      <c r="G29" s="42"/>
      <c r="H29" s="42"/>
    </row>
    <row r="30" spans="1:8" ht="12.75">
      <c r="A30" s="42"/>
      <c r="E30" s="4"/>
      <c r="F30" s="4"/>
      <c r="G30" s="42"/>
      <c r="H30" s="42"/>
    </row>
    <row r="31" spans="1:8" ht="12.75">
      <c r="A31" s="42"/>
      <c r="E31" s="4"/>
      <c r="F31" s="4"/>
      <c r="G31" s="42"/>
      <c r="H31" s="42"/>
    </row>
    <row r="32" spans="1:8" ht="12.75">
      <c r="A32" s="42"/>
      <c r="E32" s="4"/>
      <c r="F32" s="4"/>
      <c r="G32" s="42"/>
      <c r="H32" s="42"/>
    </row>
    <row r="33" spans="1:8" ht="12.75">
      <c r="A33" s="42"/>
      <c r="E33" s="4"/>
      <c r="F33" s="4"/>
      <c r="G33" s="42"/>
      <c r="H33" s="42"/>
    </row>
    <row r="34" spans="1:8" ht="12.75">
      <c r="A34" s="42"/>
      <c r="E34" s="4"/>
      <c r="F34" s="4"/>
      <c r="G34" s="42"/>
      <c r="H34" s="42"/>
    </row>
    <row r="35" spans="1:8" ht="12.75">
      <c r="A35" s="42"/>
      <c r="E35" s="4"/>
      <c r="F35" s="4"/>
      <c r="G35" s="42"/>
      <c r="H35" s="42"/>
    </row>
    <row r="36" spans="1:8" ht="12.75">
      <c r="A36" s="42"/>
      <c r="E36" s="4"/>
      <c r="F36" s="4"/>
      <c r="G36" s="42"/>
      <c r="H36" s="42"/>
    </row>
    <row r="37" spans="1:8" ht="12.75">
      <c r="A37" s="42"/>
      <c r="E37" s="4"/>
      <c r="F37" s="4"/>
      <c r="G37" s="42"/>
      <c r="H37" s="42"/>
    </row>
    <row r="38" spans="1:8" ht="12.75">
      <c r="A38" s="42"/>
      <c r="E38" s="4"/>
      <c r="F38" s="4"/>
      <c r="G38" s="42"/>
      <c r="H38" s="42"/>
    </row>
    <row r="39" spans="1:8" ht="12.75">
      <c r="A39" s="42"/>
      <c r="E39" s="4"/>
      <c r="F39" s="4"/>
      <c r="G39" s="42"/>
      <c r="H39" s="42"/>
    </row>
    <row r="40" spans="1:8" ht="12.75">
      <c r="A40" s="42"/>
      <c r="E40" s="4"/>
      <c r="F40" s="4"/>
      <c r="G40" s="42"/>
      <c r="H40" s="42"/>
    </row>
    <row r="41" spans="1:8" ht="12.75">
      <c r="A41" s="42"/>
      <c r="E41" s="4"/>
      <c r="F41" s="4"/>
      <c r="G41" s="42"/>
      <c r="H41" s="42"/>
    </row>
    <row r="42" spans="1:8" ht="12.75">
      <c r="A42" s="42"/>
      <c r="E42" s="4"/>
      <c r="F42" s="4"/>
      <c r="G42" s="42"/>
      <c r="H42" s="42"/>
    </row>
    <row r="43" spans="1:8" ht="12.75">
      <c r="A43" s="42"/>
      <c r="E43" s="4"/>
      <c r="F43" s="4"/>
      <c r="G43" s="42"/>
      <c r="H43" s="42"/>
    </row>
    <row r="44" spans="1:8" ht="12.75">
      <c r="A44" s="42"/>
      <c r="E44" s="4"/>
      <c r="F44" s="4"/>
      <c r="G44" s="42"/>
      <c r="H44" s="42"/>
    </row>
    <row r="45" spans="1:8" ht="12.75">
      <c r="A45" s="42"/>
      <c r="E45" s="4"/>
      <c r="F45" s="4"/>
      <c r="G45" s="42"/>
      <c r="H45" s="42"/>
    </row>
    <row r="46" spans="1:8" ht="12.75">
      <c r="A46" s="42"/>
      <c r="E46" s="4"/>
      <c r="F46" s="4"/>
      <c r="G46" s="42"/>
      <c r="H46" s="42"/>
    </row>
    <row r="47" spans="1:8" ht="12.75">
      <c r="A47" s="42"/>
      <c r="E47" s="4"/>
      <c r="F47" s="4"/>
      <c r="G47" s="42"/>
      <c r="H47" s="42"/>
    </row>
    <row r="48" spans="1:8" ht="12.75">
      <c r="A48" s="42"/>
      <c r="E48" s="4"/>
      <c r="F48" s="4"/>
      <c r="G48" s="42"/>
      <c r="H48" s="42"/>
    </row>
    <row r="49" spans="1:8" ht="12.75">
      <c r="A49" s="42"/>
      <c r="E49" s="4"/>
      <c r="F49" s="4"/>
      <c r="G49" s="42"/>
      <c r="H49" s="42"/>
    </row>
    <row r="50" spans="1:8" ht="12.75">
      <c r="A50" s="42"/>
      <c r="E50" s="4"/>
      <c r="F50" s="4"/>
      <c r="G50" s="42"/>
      <c r="H50" s="42"/>
    </row>
    <row r="51" spans="1:8" ht="12.75">
      <c r="A51" s="42"/>
      <c r="E51" s="4"/>
      <c r="F51" s="4"/>
      <c r="G51" s="42"/>
      <c r="H51" s="42"/>
    </row>
    <row r="52" spans="1:8" ht="12.75">
      <c r="A52" s="42"/>
      <c r="E52" s="4"/>
      <c r="F52" s="4"/>
      <c r="G52" s="42"/>
      <c r="H52" s="42"/>
    </row>
    <row r="53" spans="1:8" ht="12.75">
      <c r="A53" s="42"/>
      <c r="E53" s="4"/>
      <c r="F53" s="4"/>
      <c r="G53" s="42"/>
      <c r="H53" s="42"/>
    </row>
    <row r="54" spans="1:8" ht="12.75">
      <c r="A54" s="42"/>
      <c r="E54" s="4"/>
      <c r="F54" s="4"/>
      <c r="G54" s="42"/>
      <c r="H54" s="42"/>
    </row>
    <row r="55" spans="1:8" ht="12.75">
      <c r="A55" s="42"/>
      <c r="E55" s="4"/>
      <c r="F55" s="4"/>
      <c r="G55" s="42"/>
      <c r="H55" s="42"/>
    </row>
    <row r="56" spans="1:8" ht="12.75">
      <c r="A56" s="42"/>
      <c r="E56" s="4"/>
      <c r="F56" s="4"/>
      <c r="G56" s="42"/>
      <c r="H56" s="42"/>
    </row>
    <row r="57" spans="1:8" ht="12.75">
      <c r="A57" s="42"/>
      <c r="E57" s="4"/>
      <c r="F57" s="4"/>
      <c r="G57" s="42"/>
      <c r="H57" s="42"/>
    </row>
    <row r="58" spans="1:8" ht="12.75">
      <c r="A58" s="42"/>
      <c r="E58" s="4"/>
      <c r="F58" s="4"/>
      <c r="G58" s="42"/>
      <c r="H58" s="42"/>
    </row>
    <row r="59" spans="1:8" ht="12.75">
      <c r="A59" s="42"/>
      <c r="E59" s="4"/>
      <c r="F59" s="4"/>
      <c r="G59" s="42"/>
      <c r="H59" s="42"/>
    </row>
    <row r="60" spans="1:8" ht="12.75">
      <c r="A60" s="42"/>
      <c r="E60" s="4"/>
      <c r="F60" s="4"/>
      <c r="G60" s="42"/>
      <c r="H60" s="42"/>
    </row>
    <row r="61" ht="12.75">
      <c r="A61" s="42"/>
    </row>
    <row r="62" ht="12.75">
      <c r="A62" s="42"/>
    </row>
    <row r="63" ht="12.75">
      <c r="A63" s="42"/>
    </row>
    <row r="64" ht="12.75">
      <c r="A64" s="42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"/>
  <pageSetup horizontalDpi="300" verticalDpi="300" orientation="landscape" paperSize="9"/>
  <headerFooter alignWithMargins="0">
    <oddFooter>&amp;C&amp;10Seite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3"/>
  <sheetViews>
    <sheetView workbookViewId="0" topLeftCell="A13">
      <selection activeCell="D2" sqref="D2"/>
    </sheetView>
  </sheetViews>
  <sheetFormatPr defaultColWidth="9.77734375" defaultRowHeight="15"/>
  <cols>
    <col min="1" max="1" width="10.6640625" style="1" customWidth="1"/>
    <col min="2" max="2" width="8.5546875" style="1" customWidth="1"/>
    <col min="3" max="3" width="6.6640625" style="1" customWidth="1"/>
    <col min="4" max="4" width="16.99609375" style="1" customWidth="1"/>
    <col min="5" max="5" width="6.6640625" style="1" customWidth="1"/>
    <col min="6" max="6" width="48.3359375" style="1" customWidth="1"/>
    <col min="7" max="7" width="10.6640625" style="1" customWidth="1"/>
    <col min="8" max="8" width="11.21484375" style="1" customWidth="1"/>
    <col min="9" max="9" width="10.6640625" style="1" customWidth="1"/>
    <col min="10" max="10" width="6.6640625" style="1" customWidth="1"/>
    <col min="11" max="16384" width="9.6640625" style="1" customWidth="1"/>
  </cols>
  <sheetData>
    <row r="1" s="30" customFormat="1" ht="12.75">
      <c r="B1" s="31" t="s">
        <v>87</v>
      </c>
    </row>
    <row r="2" spans="2:4" s="30" customFormat="1" ht="12.75">
      <c r="B2" s="30" t="s">
        <v>117</v>
      </c>
      <c r="D2" s="30">
        <v>2023</v>
      </c>
    </row>
    <row r="3" s="30" customFormat="1" ht="12.75"/>
    <row r="4" s="30" customFormat="1" ht="12.75"/>
    <row r="5" s="30" customFormat="1" ht="12.75"/>
    <row r="6" s="30" customFormat="1" ht="12.75"/>
    <row r="7" s="30" customFormat="1" ht="12.75">
      <c r="B7" s="33" t="s">
        <v>118</v>
      </c>
    </row>
    <row r="8" s="30" customFormat="1" ht="12.75"/>
    <row r="9" spans="1:12" s="34" customFormat="1" ht="12.75">
      <c r="A9" s="34" t="s">
        <v>90</v>
      </c>
      <c r="B9" s="34" t="s">
        <v>91</v>
      </c>
      <c r="C9" s="34" t="s">
        <v>92</v>
      </c>
      <c r="D9" s="35" t="s">
        <v>94</v>
      </c>
      <c r="E9" s="35" t="s">
        <v>95</v>
      </c>
      <c r="F9" s="34" t="s">
        <v>96</v>
      </c>
      <c r="G9" s="35" t="s">
        <v>97</v>
      </c>
      <c r="H9" s="34" t="s">
        <v>119</v>
      </c>
      <c r="I9" s="35" t="s">
        <v>99</v>
      </c>
      <c r="J9" s="34" t="s">
        <v>100</v>
      </c>
      <c r="L9" s="34" t="s">
        <v>102</v>
      </c>
    </row>
    <row r="10" spans="1:3" ht="12.75">
      <c r="A10" s="4"/>
      <c r="C10" s="37"/>
    </row>
    <row r="11" spans="1:12" ht="12.75">
      <c r="A11" s="44"/>
      <c r="B11" s="1" t="s">
        <v>120</v>
      </c>
      <c r="C11" s="37">
        <v>3000</v>
      </c>
      <c r="F11" s="38"/>
      <c r="G11" s="39">
        <f>I11/(100+J11)*100</f>
        <v>0</v>
      </c>
      <c r="H11" s="39">
        <f>I11/(100+J11)*J11</f>
        <v>0</v>
      </c>
      <c r="I11" s="40"/>
      <c r="J11" s="1">
        <v>19</v>
      </c>
      <c r="L11" s="1" t="s">
        <v>171</v>
      </c>
    </row>
    <row r="12" spans="1:12" ht="12.75">
      <c r="A12" s="44"/>
      <c r="B12" s="1" t="s">
        <v>120</v>
      </c>
      <c r="C12" s="37">
        <v>3001</v>
      </c>
      <c r="F12" s="38"/>
      <c r="G12" s="39">
        <f>I12/(100+J12)*100</f>
        <v>0</v>
      </c>
      <c r="H12" s="39">
        <f>I12/(100+J12)*J12</f>
        <v>0</v>
      </c>
      <c r="I12" s="40"/>
      <c r="J12" s="1">
        <v>19</v>
      </c>
      <c r="L12" s="1" t="s">
        <v>533</v>
      </c>
    </row>
    <row r="13" spans="1:12" ht="12.75">
      <c r="A13" s="44"/>
      <c r="B13" s="1" t="s">
        <v>120</v>
      </c>
      <c r="C13" s="37">
        <v>3002</v>
      </c>
      <c r="F13" s="38"/>
      <c r="G13" s="39">
        <f>I13/(100+J13)*100</f>
        <v>0</v>
      </c>
      <c r="H13" s="39">
        <f>I13/(100+J13)*J13</f>
        <v>0</v>
      </c>
      <c r="I13" s="40"/>
      <c r="J13" s="1">
        <v>19</v>
      </c>
      <c r="L13" s="1" t="s">
        <v>533</v>
      </c>
    </row>
    <row r="14" spans="1:12" ht="12.75">
      <c r="A14" s="44"/>
      <c r="B14" s="1" t="s">
        <v>120</v>
      </c>
      <c r="C14" s="37">
        <v>3003</v>
      </c>
      <c r="F14" s="38"/>
      <c r="G14" s="39">
        <f>I14/(100+J14)*100</f>
        <v>0</v>
      </c>
      <c r="H14" s="39">
        <f>I14/(100+J14)*J14</f>
        <v>0</v>
      </c>
      <c r="I14" s="40"/>
      <c r="J14" s="1">
        <v>19</v>
      </c>
      <c r="L14" s="1" t="s">
        <v>533</v>
      </c>
    </row>
    <row r="15" spans="1:12" ht="12.75">
      <c r="A15" s="44"/>
      <c r="B15" s="1" t="s">
        <v>120</v>
      </c>
      <c r="C15" s="37">
        <v>3004</v>
      </c>
      <c r="F15" s="38"/>
      <c r="G15" s="39">
        <f>I15/(100+J15)*100</f>
        <v>0</v>
      </c>
      <c r="H15" s="39">
        <f>I15/(100+J15)*J15</f>
        <v>0</v>
      </c>
      <c r="I15" s="40"/>
      <c r="J15" s="1">
        <v>19</v>
      </c>
      <c r="L15" s="1" t="s">
        <v>171</v>
      </c>
    </row>
    <row r="16" spans="1:12" ht="12.75">
      <c r="A16" s="44"/>
      <c r="B16" s="1" t="s">
        <v>120</v>
      </c>
      <c r="C16" s="37">
        <v>3005</v>
      </c>
      <c r="F16" s="38"/>
      <c r="G16" s="39">
        <f>I16/(100+J16)*100</f>
        <v>0</v>
      </c>
      <c r="H16" s="39">
        <f>I16/(100+J16)*J16</f>
        <v>0</v>
      </c>
      <c r="I16" s="40"/>
      <c r="J16" s="1">
        <v>19</v>
      </c>
      <c r="L16" s="1" t="s">
        <v>533</v>
      </c>
    </row>
    <row r="17" spans="1:12" ht="12.75">
      <c r="A17" s="44"/>
      <c r="B17" s="1" t="s">
        <v>120</v>
      </c>
      <c r="C17" s="37">
        <v>3006</v>
      </c>
      <c r="F17" s="38"/>
      <c r="G17" s="39">
        <f>I17/(100+J17)*100</f>
        <v>0</v>
      </c>
      <c r="H17" s="39">
        <f>I17/(100+J17)*J17</f>
        <v>0</v>
      </c>
      <c r="I17" s="40"/>
      <c r="J17" s="1">
        <v>19</v>
      </c>
      <c r="L17" s="1" t="s">
        <v>171</v>
      </c>
    </row>
    <row r="18" spans="1:12" ht="12.75">
      <c r="A18" s="44"/>
      <c r="B18" s="1" t="s">
        <v>120</v>
      </c>
      <c r="C18" s="37">
        <v>3007</v>
      </c>
      <c r="F18" s="38"/>
      <c r="G18" s="39">
        <f>I18/(100+J18)*100</f>
        <v>0</v>
      </c>
      <c r="H18" s="39">
        <f>I18/(100+J18)*J18</f>
        <v>0</v>
      </c>
      <c r="I18" s="40"/>
      <c r="J18" s="1">
        <v>19</v>
      </c>
      <c r="L18" s="1" t="s">
        <v>171</v>
      </c>
    </row>
    <row r="19" spans="1:12" ht="12.75">
      <c r="A19" s="44"/>
      <c r="B19" s="1" t="s">
        <v>120</v>
      </c>
      <c r="C19" s="37">
        <v>3008</v>
      </c>
      <c r="F19" s="38"/>
      <c r="G19" s="39">
        <f>I19/(100+J19)*100</f>
        <v>0</v>
      </c>
      <c r="H19" s="39">
        <f>I19/(100+J19)*J19</f>
        <v>0</v>
      </c>
      <c r="I19" s="40"/>
      <c r="J19" s="1">
        <v>19</v>
      </c>
      <c r="L19" s="1" t="s">
        <v>171</v>
      </c>
    </row>
    <row r="20" spans="1:12" ht="12.75">
      <c r="A20" s="44"/>
      <c r="B20" s="1" t="s">
        <v>120</v>
      </c>
      <c r="C20" s="37">
        <v>3009</v>
      </c>
      <c r="F20" s="46"/>
      <c r="G20" s="39">
        <f>I20/(100+J20)*100</f>
        <v>0</v>
      </c>
      <c r="H20" s="39">
        <f>I20/(100+J20)*J20</f>
        <v>0</v>
      </c>
      <c r="I20" s="40"/>
      <c r="J20" s="1">
        <v>19</v>
      </c>
      <c r="L20" s="1" t="s">
        <v>533</v>
      </c>
    </row>
    <row r="21" spans="1:12" ht="12.75">
      <c r="A21" s="44"/>
      <c r="B21" s="1" t="s">
        <v>120</v>
      </c>
      <c r="C21" s="37">
        <v>3010</v>
      </c>
      <c r="F21" s="46"/>
      <c r="G21" s="39">
        <f>I21/(100+J21)*100</f>
        <v>0</v>
      </c>
      <c r="H21" s="39">
        <f>I21/(100+J21)*J21</f>
        <v>0</v>
      </c>
      <c r="I21" s="40"/>
      <c r="J21" s="1">
        <v>19</v>
      </c>
      <c r="L21" s="1" t="s">
        <v>533</v>
      </c>
    </row>
    <row r="22" spans="1:12" ht="12.75">
      <c r="A22" s="44"/>
      <c r="B22" s="1" t="s">
        <v>120</v>
      </c>
      <c r="C22" s="37">
        <v>3011</v>
      </c>
      <c r="F22" s="46"/>
      <c r="G22" s="39">
        <f>I22/(100+J22)*100</f>
        <v>0</v>
      </c>
      <c r="H22" s="39">
        <f>I22/(100+J22)*J22</f>
        <v>0</v>
      </c>
      <c r="I22" s="40"/>
      <c r="J22" s="1">
        <v>19</v>
      </c>
      <c r="L22" s="1" t="s">
        <v>533</v>
      </c>
    </row>
    <row r="23" spans="1:12" ht="12.75">
      <c r="A23" s="44"/>
      <c r="B23" s="1" t="s">
        <v>120</v>
      </c>
      <c r="C23" s="37">
        <v>3012</v>
      </c>
      <c r="F23" s="46"/>
      <c r="G23" s="39">
        <f>I23/(100+J23)*100</f>
        <v>0</v>
      </c>
      <c r="H23" s="39">
        <f>I23/(100+J23)*J23</f>
        <v>0</v>
      </c>
      <c r="I23" s="40"/>
      <c r="J23" s="1">
        <v>19</v>
      </c>
      <c r="L23" s="1" t="s">
        <v>533</v>
      </c>
    </row>
    <row r="24" spans="1:12" ht="12.75">
      <c r="A24" s="44"/>
      <c r="B24" s="1" t="s">
        <v>120</v>
      </c>
      <c r="C24" s="37">
        <v>3013</v>
      </c>
      <c r="F24" s="46"/>
      <c r="G24" s="39">
        <f>I24/(100+J24)*100</f>
        <v>0</v>
      </c>
      <c r="H24" s="39">
        <f>I24/(100+J24)*J24</f>
        <v>0</v>
      </c>
      <c r="I24" s="40"/>
      <c r="J24" s="1">
        <v>19</v>
      </c>
      <c r="L24" s="1" t="s">
        <v>533</v>
      </c>
    </row>
    <row r="25" spans="1:12" ht="12.75">
      <c r="A25" s="44"/>
      <c r="B25" s="1" t="s">
        <v>120</v>
      </c>
      <c r="C25" s="37">
        <v>3014</v>
      </c>
      <c r="F25" s="38"/>
      <c r="G25" s="39">
        <f>I25/(100+J25)*100</f>
        <v>0</v>
      </c>
      <c r="H25" s="39">
        <f>I25/(100+J25)*J25</f>
        <v>0</v>
      </c>
      <c r="I25" s="40"/>
      <c r="J25" s="1">
        <v>19</v>
      </c>
      <c r="L25" s="1" t="s">
        <v>533</v>
      </c>
    </row>
    <row r="26" spans="1:12" ht="12.75">
      <c r="A26" s="41"/>
      <c r="B26" s="1" t="s">
        <v>120</v>
      </c>
      <c r="C26" s="37">
        <v>3015</v>
      </c>
      <c r="D26" s="45"/>
      <c r="F26" s="45"/>
      <c r="G26" s="39">
        <f>I26/(100+J26)*100</f>
        <v>0</v>
      </c>
      <c r="H26" s="39">
        <f>I26/(100+J26)*J26</f>
        <v>0</v>
      </c>
      <c r="I26" s="40"/>
      <c r="J26" s="1">
        <v>19</v>
      </c>
      <c r="L26" s="1" t="s">
        <v>171</v>
      </c>
    </row>
    <row r="27" spans="1:12" ht="12.75">
      <c r="A27" s="44"/>
      <c r="B27" s="1" t="s">
        <v>120</v>
      </c>
      <c r="C27" s="37">
        <v>3016</v>
      </c>
      <c r="F27" s="132"/>
      <c r="G27" s="39">
        <f>I27/(100+J27)*100</f>
        <v>0</v>
      </c>
      <c r="H27" s="39">
        <f>I27/(100+J27)*J27</f>
        <v>0</v>
      </c>
      <c r="I27" s="40"/>
      <c r="J27" s="1">
        <v>19</v>
      </c>
      <c r="L27" s="1" t="s">
        <v>533</v>
      </c>
    </row>
    <row r="28" spans="1:12" ht="12.75">
      <c r="A28" s="44"/>
      <c r="B28" s="1" t="s">
        <v>120</v>
      </c>
      <c r="C28" s="37">
        <v>3017</v>
      </c>
      <c r="F28" s="38"/>
      <c r="G28" s="39">
        <f>I28/(100+J28)*100</f>
        <v>0</v>
      </c>
      <c r="H28" s="39">
        <f>I28/(100+J28)*J28</f>
        <v>0</v>
      </c>
      <c r="I28" s="40"/>
      <c r="J28" s="1">
        <v>19</v>
      </c>
      <c r="L28" s="1" t="s">
        <v>533</v>
      </c>
    </row>
    <row r="29" spans="1:12" ht="12.75">
      <c r="A29" s="44"/>
      <c r="B29" s="1" t="s">
        <v>120</v>
      </c>
      <c r="C29" s="37">
        <v>3018</v>
      </c>
      <c r="F29" s="46"/>
      <c r="G29" s="39">
        <f>I29/(100+J29)*100</f>
        <v>0</v>
      </c>
      <c r="H29" s="39">
        <f>I29/(100+J29)*J29</f>
        <v>0</v>
      </c>
      <c r="I29" s="40"/>
      <c r="J29" s="1">
        <v>19</v>
      </c>
      <c r="L29" s="1" t="s">
        <v>171</v>
      </c>
    </row>
    <row r="30" spans="1:12" ht="12.75">
      <c r="A30" s="44"/>
      <c r="B30" s="1" t="s">
        <v>120</v>
      </c>
      <c r="C30" s="37">
        <v>3019</v>
      </c>
      <c r="F30" s="38"/>
      <c r="G30" s="39">
        <f>I30/(100+J30)*100</f>
        <v>0</v>
      </c>
      <c r="H30" s="39">
        <f>I30/(100+J30)*J30</f>
        <v>0</v>
      </c>
      <c r="I30" s="40"/>
      <c r="J30" s="1">
        <v>19</v>
      </c>
      <c r="L30" s="1" t="s">
        <v>533</v>
      </c>
    </row>
    <row r="31" spans="1:12" ht="12.75">
      <c r="A31" s="44"/>
      <c r="B31" s="1" t="s">
        <v>120</v>
      </c>
      <c r="C31" s="37">
        <v>3020</v>
      </c>
      <c r="F31" s="38"/>
      <c r="G31" s="39">
        <f>I31/(100+J31)*100</f>
        <v>0</v>
      </c>
      <c r="H31" s="39">
        <f>I31/(100+J31)*J31</f>
        <v>0</v>
      </c>
      <c r="I31" s="40"/>
      <c r="J31" s="1">
        <v>19</v>
      </c>
      <c r="L31" s="1" t="s">
        <v>171</v>
      </c>
    </row>
    <row r="32" spans="1:12" ht="12.75">
      <c r="A32" s="44"/>
      <c r="B32" s="1" t="s">
        <v>120</v>
      </c>
      <c r="C32" s="37">
        <v>3021</v>
      </c>
      <c r="F32" s="38"/>
      <c r="G32" s="39">
        <f>I32/(100+J32)*100</f>
        <v>0</v>
      </c>
      <c r="H32" s="39">
        <f>I32/(100+J32)*J32</f>
        <v>0</v>
      </c>
      <c r="I32" s="120"/>
      <c r="J32" s="1">
        <v>19</v>
      </c>
      <c r="L32" s="1" t="s">
        <v>171</v>
      </c>
    </row>
    <row r="33" spans="1:12" ht="12.75">
      <c r="A33" s="44"/>
      <c r="B33" s="1" t="s">
        <v>120</v>
      </c>
      <c r="C33" s="37">
        <v>3022</v>
      </c>
      <c r="F33" s="38"/>
      <c r="G33" s="39">
        <f>I33/(100+J33)*100</f>
        <v>0</v>
      </c>
      <c r="H33" s="39">
        <f>I33/(100+J33)*J33</f>
        <v>0</v>
      </c>
      <c r="I33" s="40"/>
      <c r="J33" s="1">
        <v>19</v>
      </c>
      <c r="L33" s="1" t="s">
        <v>171</v>
      </c>
    </row>
    <row r="34" spans="1:12" ht="12.75">
      <c r="A34" s="41"/>
      <c r="B34" s="1" t="s">
        <v>120</v>
      </c>
      <c r="C34" s="37">
        <v>3023</v>
      </c>
      <c r="F34" s="38"/>
      <c r="G34" s="39">
        <f>I34/(100+J34)*100</f>
        <v>0</v>
      </c>
      <c r="H34" s="39">
        <f>I34/(100+J34)*J34</f>
        <v>0</v>
      </c>
      <c r="I34" s="40"/>
      <c r="J34" s="1">
        <v>19</v>
      </c>
      <c r="L34" s="1" t="s">
        <v>171</v>
      </c>
    </row>
    <row r="35" spans="1:12" ht="12.75">
      <c r="A35" s="44"/>
      <c r="B35" s="1" t="s">
        <v>120</v>
      </c>
      <c r="C35" s="37">
        <v>3024</v>
      </c>
      <c r="F35" s="38"/>
      <c r="G35" s="39">
        <f>I35/(100+J35)*100</f>
        <v>0</v>
      </c>
      <c r="H35" s="39">
        <f>I35/(100+J35)*J35</f>
        <v>0</v>
      </c>
      <c r="I35" s="40"/>
      <c r="J35" s="1">
        <v>19</v>
      </c>
      <c r="L35" s="1" t="s">
        <v>171</v>
      </c>
    </row>
    <row r="36" spans="1:12" ht="12.75">
      <c r="A36" s="44"/>
      <c r="B36" s="1" t="s">
        <v>120</v>
      </c>
      <c r="C36" s="37">
        <v>3025</v>
      </c>
      <c r="F36" s="38"/>
      <c r="G36" s="39">
        <f>I36/(100+J36)*100</f>
        <v>0</v>
      </c>
      <c r="H36" s="39">
        <f>I36/(100+J36)*J36</f>
        <v>0</v>
      </c>
      <c r="I36" s="40"/>
      <c r="J36" s="1">
        <v>19</v>
      </c>
      <c r="L36" s="1" t="s">
        <v>171</v>
      </c>
    </row>
    <row r="37" spans="1:10" ht="12.75">
      <c r="A37" s="44"/>
      <c r="B37" s="1" t="s">
        <v>120</v>
      </c>
      <c r="C37" s="37">
        <v>3026</v>
      </c>
      <c r="F37" s="46"/>
      <c r="G37" s="39">
        <f>I37/(100+J37)*100</f>
        <v>0</v>
      </c>
      <c r="H37" s="39">
        <f>I37/(100+J37)*J37</f>
        <v>0</v>
      </c>
      <c r="I37" s="40"/>
      <c r="J37" s="1">
        <v>19</v>
      </c>
    </row>
    <row r="38" spans="1:10" ht="12.75">
      <c r="A38" s="44"/>
      <c r="B38" s="1" t="s">
        <v>120</v>
      </c>
      <c r="C38" s="37">
        <v>3027</v>
      </c>
      <c r="F38" s="46"/>
      <c r="G38" s="39">
        <f>I38/(100+J38)*100</f>
        <v>0</v>
      </c>
      <c r="H38" s="39">
        <f>I38/(100+J38)*J38</f>
        <v>0</v>
      </c>
      <c r="I38" s="40"/>
      <c r="J38" s="1">
        <v>19</v>
      </c>
    </row>
    <row r="39" spans="1:10" ht="12.75">
      <c r="A39" s="44"/>
      <c r="B39" s="1" t="s">
        <v>120</v>
      </c>
      <c r="C39" s="37">
        <v>3028</v>
      </c>
      <c r="F39" s="46"/>
      <c r="G39" s="39">
        <f>I39/(100+J39)*100</f>
        <v>0</v>
      </c>
      <c r="H39" s="39">
        <f>I39/(100+J39)*J39</f>
        <v>0</v>
      </c>
      <c r="I39" s="40"/>
      <c r="J39" s="1">
        <v>19</v>
      </c>
    </row>
    <row r="40" spans="1:10" ht="12.75">
      <c r="A40" s="44"/>
      <c r="B40" s="1" t="s">
        <v>120</v>
      </c>
      <c r="C40" s="37">
        <v>3029</v>
      </c>
      <c r="F40" s="46"/>
      <c r="G40" s="39">
        <f>I40/(100+J40)*100</f>
        <v>0</v>
      </c>
      <c r="H40" s="39">
        <f>I40/(100+J40)*J40</f>
        <v>0</v>
      </c>
      <c r="I40" s="40"/>
      <c r="J40" s="1">
        <v>19</v>
      </c>
    </row>
    <row r="41" spans="1:10" ht="12.75">
      <c r="A41" s="44"/>
      <c r="B41" s="1" t="s">
        <v>120</v>
      </c>
      <c r="C41" s="37">
        <v>3030</v>
      </c>
      <c r="F41" s="46"/>
      <c r="G41" s="39">
        <f>I41/(100+J41)*100</f>
        <v>0</v>
      </c>
      <c r="H41" s="39">
        <f>I41/(100+J41)*J41</f>
        <v>0</v>
      </c>
      <c r="I41" s="40"/>
      <c r="J41" s="1">
        <v>19</v>
      </c>
    </row>
    <row r="42" spans="1:10" ht="12.75">
      <c r="A42" s="44"/>
      <c r="B42" s="1" t="s">
        <v>120</v>
      </c>
      <c r="C42" s="37">
        <v>3031</v>
      </c>
      <c r="F42" s="46"/>
      <c r="G42" s="39">
        <f>I42/(100+J42)*100</f>
        <v>0</v>
      </c>
      <c r="H42" s="39">
        <f>I42/(100+J42)*J42</f>
        <v>0</v>
      </c>
      <c r="I42" s="40"/>
      <c r="J42" s="1">
        <v>19</v>
      </c>
    </row>
    <row r="43" spans="1:10" ht="12.75">
      <c r="A43" s="44"/>
      <c r="B43" s="1" t="s">
        <v>120</v>
      </c>
      <c r="C43" s="37">
        <v>3032</v>
      </c>
      <c r="F43" s="46"/>
      <c r="G43" s="39">
        <f>I43/(100+J43)*100</f>
        <v>0</v>
      </c>
      <c r="H43" s="39">
        <f>I43/(100+J43)*J43</f>
        <v>0</v>
      </c>
      <c r="I43" s="40"/>
      <c r="J43" s="1">
        <v>19</v>
      </c>
    </row>
    <row r="44" spans="1:10" ht="12.75">
      <c r="A44" s="44"/>
      <c r="B44" s="1" t="s">
        <v>120</v>
      </c>
      <c r="C44" s="37">
        <v>3033</v>
      </c>
      <c r="F44" s="46"/>
      <c r="G44" s="39">
        <f>I44/(100+J44)*100</f>
        <v>0</v>
      </c>
      <c r="H44" s="39">
        <f>I44/(100+J44)*J44</f>
        <v>0</v>
      </c>
      <c r="I44" s="40"/>
      <c r="J44" s="1">
        <v>19</v>
      </c>
    </row>
    <row r="45" spans="1:10" ht="12.75">
      <c r="A45" s="44"/>
      <c r="B45" s="1" t="s">
        <v>120</v>
      </c>
      <c r="C45" s="37">
        <v>3034</v>
      </c>
      <c r="F45" s="46"/>
      <c r="G45" s="39">
        <f>I45/(100+J45)*100</f>
        <v>0</v>
      </c>
      <c r="H45" s="39">
        <f>I45/(100+J45)*J45</f>
        <v>0</v>
      </c>
      <c r="I45" s="40"/>
      <c r="J45" s="1">
        <v>19</v>
      </c>
    </row>
    <row r="46" spans="1:10" ht="12.75">
      <c r="A46" s="44"/>
      <c r="B46" s="1" t="s">
        <v>120</v>
      </c>
      <c r="C46" s="37">
        <v>3035</v>
      </c>
      <c r="F46" s="46"/>
      <c r="G46" s="39">
        <f>I46/(100+J46)*100</f>
        <v>0</v>
      </c>
      <c r="H46" s="39">
        <f>I46/(100+J46)*J46</f>
        <v>0</v>
      </c>
      <c r="I46" s="40"/>
      <c r="J46" s="1">
        <v>19</v>
      </c>
    </row>
    <row r="47" spans="1:10" ht="12.75">
      <c r="A47" s="44"/>
      <c r="B47" s="1" t="s">
        <v>120</v>
      </c>
      <c r="C47" s="37">
        <v>3036</v>
      </c>
      <c r="F47" s="46"/>
      <c r="G47" s="39">
        <f>I47/(100+J47)*100</f>
        <v>0</v>
      </c>
      <c r="H47" s="39">
        <f>I47/(100+J47)*J47</f>
        <v>0</v>
      </c>
      <c r="I47" s="40"/>
      <c r="J47" s="1">
        <v>19</v>
      </c>
    </row>
    <row r="48" spans="1:10" ht="12.75">
      <c r="A48" s="44"/>
      <c r="B48" s="1" t="s">
        <v>120</v>
      </c>
      <c r="C48" s="37">
        <v>3037</v>
      </c>
      <c r="F48" s="46"/>
      <c r="G48" s="39">
        <f>I48/(100+J48)*100</f>
        <v>0</v>
      </c>
      <c r="H48" s="39">
        <f>I48/(100+J48)*J48</f>
        <v>0</v>
      </c>
      <c r="I48" s="40"/>
      <c r="J48" s="1">
        <v>19</v>
      </c>
    </row>
    <row r="49" spans="1:10" ht="12.75">
      <c r="A49" s="44"/>
      <c r="B49" s="1" t="s">
        <v>120</v>
      </c>
      <c r="C49" s="37">
        <v>3038</v>
      </c>
      <c r="F49" s="46"/>
      <c r="G49" s="39">
        <f>I49/(100+J49)*100</f>
        <v>0</v>
      </c>
      <c r="H49" s="39">
        <f>I49/(100+J49)*J49</f>
        <v>0</v>
      </c>
      <c r="I49" s="40"/>
      <c r="J49" s="1">
        <v>19</v>
      </c>
    </row>
    <row r="50" spans="1:10" ht="12.75">
      <c r="A50" s="44"/>
      <c r="B50" s="1" t="s">
        <v>120</v>
      </c>
      <c r="C50" s="37">
        <v>3039</v>
      </c>
      <c r="F50" s="46"/>
      <c r="G50" s="39">
        <f>I50/(100+J50)*100</f>
        <v>0</v>
      </c>
      <c r="H50" s="39">
        <f>I50/(100+J50)*J50</f>
        <v>0</v>
      </c>
      <c r="I50" s="40"/>
      <c r="J50" s="1">
        <v>19</v>
      </c>
    </row>
    <row r="51" spans="1:10" ht="12.75">
      <c r="A51" s="44"/>
      <c r="B51" s="1" t="s">
        <v>120</v>
      </c>
      <c r="C51" s="37">
        <v>3040</v>
      </c>
      <c r="F51" s="46"/>
      <c r="G51" s="39">
        <f>I51/(100+J51)*100</f>
        <v>0</v>
      </c>
      <c r="H51" s="39">
        <f>I51/(100+J51)*J51</f>
        <v>0</v>
      </c>
      <c r="I51" s="40"/>
      <c r="J51" s="1">
        <v>19</v>
      </c>
    </row>
    <row r="52" spans="1:10" ht="12.75">
      <c r="A52" s="44"/>
      <c r="B52" s="1" t="s">
        <v>120</v>
      </c>
      <c r="C52" s="37">
        <v>3041</v>
      </c>
      <c r="F52" s="46"/>
      <c r="G52" s="39">
        <f>I52/(100+J52)*100</f>
        <v>0</v>
      </c>
      <c r="H52" s="39">
        <f>I52/(100+J52)*J52</f>
        <v>0</v>
      </c>
      <c r="I52" s="40"/>
      <c r="J52" s="1">
        <v>19</v>
      </c>
    </row>
    <row r="53" spans="1:10" ht="12.75">
      <c r="A53" s="44"/>
      <c r="B53" s="1" t="s">
        <v>120</v>
      </c>
      <c r="C53" s="37">
        <v>3042</v>
      </c>
      <c r="F53" s="46"/>
      <c r="G53" s="39">
        <f>I53/(100+J53)*100</f>
        <v>0</v>
      </c>
      <c r="H53" s="39">
        <f>I53/(100+J53)*J53</f>
        <v>0</v>
      </c>
      <c r="I53" s="40"/>
      <c r="J53" s="1">
        <v>19</v>
      </c>
    </row>
    <row r="54" spans="1:10" ht="12.75">
      <c r="A54" s="44"/>
      <c r="B54" s="1" t="s">
        <v>120</v>
      </c>
      <c r="C54" s="37">
        <v>3043</v>
      </c>
      <c r="F54" s="38"/>
      <c r="G54" s="39">
        <f>I54/(100+J54)*100</f>
        <v>0</v>
      </c>
      <c r="H54" s="39">
        <f>I54/(100+J54)*J54</f>
        <v>0</v>
      </c>
      <c r="I54" s="40"/>
      <c r="J54" s="1">
        <v>19</v>
      </c>
    </row>
    <row r="55" spans="1:10" ht="12.75">
      <c r="A55" s="44"/>
      <c r="B55" s="1" t="s">
        <v>120</v>
      </c>
      <c r="C55" s="37">
        <v>3044</v>
      </c>
      <c r="F55" s="38"/>
      <c r="G55" s="39">
        <f>I55/(100+J55)*100</f>
        <v>0</v>
      </c>
      <c r="H55" s="39">
        <f>I55/(100+J55)*J55</f>
        <v>0</v>
      </c>
      <c r="I55" s="40"/>
      <c r="J55" s="1">
        <v>19</v>
      </c>
    </row>
    <row r="56" spans="1:10" ht="12.75">
      <c r="A56" s="44"/>
      <c r="B56" s="1" t="s">
        <v>120</v>
      </c>
      <c r="C56" s="37">
        <v>3045</v>
      </c>
      <c r="F56" s="46"/>
      <c r="G56" s="39">
        <f>I56/(100+J56)*100</f>
        <v>0</v>
      </c>
      <c r="H56" s="39">
        <f>I56/(100+J56)*J56</f>
        <v>0</v>
      </c>
      <c r="I56" s="40"/>
      <c r="J56" s="1">
        <v>19</v>
      </c>
    </row>
    <row r="57" spans="1:10" ht="12.75">
      <c r="A57" s="44"/>
      <c r="B57" s="1" t="s">
        <v>120</v>
      </c>
      <c r="C57" s="37">
        <v>3046</v>
      </c>
      <c r="D57" s="45"/>
      <c r="F57" s="46"/>
      <c r="G57" s="39">
        <f>I57/(100+J57)*100</f>
        <v>0</v>
      </c>
      <c r="H57" s="39">
        <f>I57/(100+J57)*J57</f>
        <v>0</v>
      </c>
      <c r="I57" s="40"/>
      <c r="J57" s="1">
        <v>19</v>
      </c>
    </row>
    <row r="58" spans="1:10" ht="12.75">
      <c r="A58" s="44"/>
      <c r="B58" s="1" t="s">
        <v>120</v>
      </c>
      <c r="C58" s="37">
        <v>3047</v>
      </c>
      <c r="F58" s="38"/>
      <c r="G58" s="39">
        <f>I58/(100+J58)*100</f>
        <v>0</v>
      </c>
      <c r="H58" s="39">
        <f>I58/(100+J58)*J58</f>
        <v>0</v>
      </c>
      <c r="I58" s="40"/>
      <c r="J58" s="1">
        <v>19</v>
      </c>
    </row>
    <row r="59" spans="1:10" ht="12.75">
      <c r="A59" s="44"/>
      <c r="B59" s="1" t="s">
        <v>120</v>
      </c>
      <c r="C59" s="37">
        <v>3048</v>
      </c>
      <c r="F59" s="38"/>
      <c r="G59" s="39">
        <f>I59/(100+J59)*100</f>
        <v>0</v>
      </c>
      <c r="H59" s="39">
        <f>I59/(100+J59)*J59</f>
        <v>0</v>
      </c>
      <c r="I59" s="40"/>
      <c r="J59" s="1">
        <v>19</v>
      </c>
    </row>
    <row r="60" spans="1:10" ht="15" customHeight="1">
      <c r="A60" s="44"/>
      <c r="B60" s="1" t="s">
        <v>120</v>
      </c>
      <c r="C60" s="37">
        <v>3049</v>
      </c>
      <c r="F60" s="45"/>
      <c r="G60" s="39">
        <f>I60/(100+J60)*100</f>
        <v>0</v>
      </c>
      <c r="H60" s="39">
        <f>I60/(100+J60)*J60</f>
        <v>0</v>
      </c>
      <c r="I60" s="40"/>
      <c r="J60" s="1">
        <v>19</v>
      </c>
    </row>
    <row r="61" spans="1:10" ht="15" customHeight="1">
      <c r="A61" s="44"/>
      <c r="B61" s="1" t="s">
        <v>120</v>
      </c>
      <c r="C61" s="37">
        <v>3050</v>
      </c>
      <c r="F61" s="38"/>
      <c r="G61" s="39">
        <f>I61/(100+J61)*100</f>
        <v>0</v>
      </c>
      <c r="H61" s="39">
        <f>I61/(100+J61)*J61</f>
        <v>0</v>
      </c>
      <c r="I61" s="40"/>
      <c r="J61" s="1">
        <v>19</v>
      </c>
    </row>
    <row r="62" spans="1:10" ht="15" customHeight="1">
      <c r="A62" s="44"/>
      <c r="B62" s="1" t="s">
        <v>120</v>
      </c>
      <c r="C62" s="37">
        <v>3051</v>
      </c>
      <c r="F62" s="38"/>
      <c r="G62" s="39">
        <f>I62/(100+J62)*100</f>
        <v>0</v>
      </c>
      <c r="H62" s="39">
        <f>I62/(100+J62)*J62</f>
        <v>0</v>
      </c>
      <c r="I62" s="40"/>
      <c r="J62" s="1">
        <v>19</v>
      </c>
    </row>
    <row r="63" spans="1:10" ht="15" customHeight="1">
      <c r="A63" s="44"/>
      <c r="B63" s="1" t="s">
        <v>120</v>
      </c>
      <c r="C63" s="37">
        <v>3052</v>
      </c>
      <c r="F63" s="38"/>
      <c r="G63" s="39">
        <f>I63/(100+J63)*100</f>
        <v>0</v>
      </c>
      <c r="H63" s="39">
        <f>I63/(100+J63)*J63</f>
        <v>0</v>
      </c>
      <c r="I63" s="40"/>
      <c r="J63" s="1">
        <v>19</v>
      </c>
    </row>
    <row r="64" spans="1:10" ht="15" customHeight="1">
      <c r="A64" s="44"/>
      <c r="B64" s="1" t="s">
        <v>120</v>
      </c>
      <c r="C64" s="37">
        <v>3053</v>
      </c>
      <c r="D64" s="45"/>
      <c r="F64" s="45"/>
      <c r="G64" s="39">
        <f>I64/(100+J64)*100</f>
        <v>0</v>
      </c>
      <c r="H64" s="39">
        <f>I64/(100+J64)*J64</f>
        <v>0</v>
      </c>
      <c r="I64" s="40"/>
      <c r="J64" s="1">
        <v>19</v>
      </c>
    </row>
    <row r="65" spans="1:10" ht="15" customHeight="1">
      <c r="A65" s="44"/>
      <c r="B65" s="1" t="s">
        <v>120</v>
      </c>
      <c r="C65" s="37">
        <v>3054</v>
      </c>
      <c r="F65" s="38"/>
      <c r="G65" s="39">
        <f>I65/(100+J65)*100</f>
        <v>0</v>
      </c>
      <c r="H65" s="39">
        <f>I65/(100+J65)*J65</f>
        <v>0</v>
      </c>
      <c r="I65" s="40"/>
      <c r="J65" s="1">
        <v>19</v>
      </c>
    </row>
    <row r="66" spans="1:10" ht="15" customHeight="1">
      <c r="A66" s="44"/>
      <c r="B66" s="1" t="s">
        <v>120</v>
      </c>
      <c r="C66" s="37">
        <v>3055</v>
      </c>
      <c r="F66" s="38"/>
      <c r="G66" s="39">
        <f>I66/(100+J66)*100</f>
        <v>0</v>
      </c>
      <c r="H66" s="39">
        <f>I66/(100+J66)*J66</f>
        <v>0</v>
      </c>
      <c r="I66" s="40"/>
      <c r="J66" s="1">
        <v>19</v>
      </c>
    </row>
    <row r="67" spans="1:10" ht="12.75">
      <c r="A67" s="44"/>
      <c r="B67" s="1" t="s">
        <v>120</v>
      </c>
      <c r="C67" s="37">
        <v>3056</v>
      </c>
      <c r="F67" s="38"/>
      <c r="G67" s="39">
        <f>I67/(100+J67)*100</f>
        <v>0</v>
      </c>
      <c r="H67" s="39">
        <f>I67/(100+J67)*J67</f>
        <v>0</v>
      </c>
      <c r="I67" s="40"/>
      <c r="J67" s="1">
        <v>19</v>
      </c>
    </row>
    <row r="68" spans="1:10" ht="12.75">
      <c r="A68" s="44"/>
      <c r="B68" s="1" t="s">
        <v>120</v>
      </c>
      <c r="C68" s="37">
        <v>3057</v>
      </c>
      <c r="F68" s="38"/>
      <c r="G68" s="39">
        <f>I68/(100+J68)*100</f>
        <v>0</v>
      </c>
      <c r="H68" s="39">
        <f>I68/(100+J68)*J68</f>
        <v>0</v>
      </c>
      <c r="I68" s="40"/>
      <c r="J68" s="1">
        <v>19</v>
      </c>
    </row>
    <row r="69" spans="1:10" ht="12.75">
      <c r="A69" s="44"/>
      <c r="B69" s="1" t="s">
        <v>120</v>
      </c>
      <c r="C69" s="37">
        <v>3058</v>
      </c>
      <c r="F69" s="38"/>
      <c r="G69" s="39">
        <f>I69/(100+J69)*100</f>
        <v>0</v>
      </c>
      <c r="H69" s="39">
        <f>I69/(100+J69)*J69</f>
        <v>0</v>
      </c>
      <c r="I69" s="40"/>
      <c r="J69" s="1">
        <v>19</v>
      </c>
    </row>
    <row r="70" spans="1:10" ht="12.75">
      <c r="A70" s="44"/>
      <c r="B70" s="1" t="s">
        <v>120</v>
      </c>
      <c r="C70" s="37">
        <v>3059</v>
      </c>
      <c r="F70" s="38"/>
      <c r="G70" s="39">
        <f>I70/(100+J70)*100</f>
        <v>0</v>
      </c>
      <c r="H70" s="39">
        <f>I70/(100+J70)*J70</f>
        <v>0</v>
      </c>
      <c r="I70" s="40"/>
      <c r="J70" s="1">
        <v>19</v>
      </c>
    </row>
    <row r="71" spans="1:10" ht="12.75">
      <c r="A71" s="44"/>
      <c r="B71" s="1" t="s">
        <v>120</v>
      </c>
      <c r="C71" s="37">
        <v>3060</v>
      </c>
      <c r="F71" s="38"/>
      <c r="G71" s="39">
        <f>I71/(100+J71)*100</f>
        <v>0</v>
      </c>
      <c r="H71" s="39">
        <f>I71/(100+J71)*J71</f>
        <v>0</v>
      </c>
      <c r="I71" s="40"/>
      <c r="J71" s="1">
        <v>19</v>
      </c>
    </row>
    <row r="72" spans="1:10" ht="12.75">
      <c r="A72" s="44"/>
      <c r="B72" s="1" t="s">
        <v>120</v>
      </c>
      <c r="C72" s="37">
        <v>3061</v>
      </c>
      <c r="F72" s="38"/>
      <c r="G72" s="39">
        <f>I72/(100+J72)*100</f>
        <v>0</v>
      </c>
      <c r="H72" s="39">
        <f>I72/(100+J72)*J72</f>
        <v>0</v>
      </c>
      <c r="I72" s="40"/>
      <c r="J72" s="1">
        <v>19</v>
      </c>
    </row>
    <row r="73" spans="1:10" ht="12.75">
      <c r="A73" s="44"/>
      <c r="B73" s="1" t="s">
        <v>120</v>
      </c>
      <c r="C73" s="37">
        <v>3062</v>
      </c>
      <c r="F73" s="38"/>
      <c r="G73" s="39">
        <f>I73/(100+J73)*100</f>
        <v>0</v>
      </c>
      <c r="H73" s="39">
        <f>I73/(100+J73)*J73</f>
        <v>0</v>
      </c>
      <c r="I73" s="40"/>
      <c r="J73" s="1">
        <v>19</v>
      </c>
    </row>
    <row r="74" spans="1:10" ht="12.75">
      <c r="A74" s="44"/>
      <c r="B74" s="1" t="s">
        <v>120</v>
      </c>
      <c r="C74" s="37">
        <v>3063</v>
      </c>
      <c r="F74" s="38"/>
      <c r="G74" s="39">
        <f>I74/(100+J74)*100</f>
        <v>0</v>
      </c>
      <c r="H74" s="39">
        <f>I74/(100+J74)*J74</f>
        <v>0</v>
      </c>
      <c r="I74" s="40"/>
      <c r="J74" s="1">
        <v>19</v>
      </c>
    </row>
    <row r="75" spans="1:10" ht="12.75">
      <c r="A75" s="44"/>
      <c r="B75" s="1" t="s">
        <v>120</v>
      </c>
      <c r="C75" s="37">
        <v>3064</v>
      </c>
      <c r="F75" s="38"/>
      <c r="G75" s="39">
        <f>I75/(100+J75)*100</f>
        <v>0</v>
      </c>
      <c r="H75" s="39">
        <f>I75/(100+J75)*J75</f>
        <v>0</v>
      </c>
      <c r="I75" s="40"/>
      <c r="J75" s="1">
        <v>19</v>
      </c>
    </row>
    <row r="76" spans="1:10" ht="12.75">
      <c r="A76" s="44"/>
      <c r="B76" s="1" t="s">
        <v>120</v>
      </c>
      <c r="C76" s="37">
        <v>3065</v>
      </c>
      <c r="F76" s="46"/>
      <c r="G76" s="39">
        <f>I76/(100+J76)*100</f>
        <v>0</v>
      </c>
      <c r="H76" s="39">
        <f>I76/(100+J76)*J76</f>
        <v>0</v>
      </c>
      <c r="I76" s="40"/>
      <c r="J76" s="1">
        <v>19</v>
      </c>
    </row>
    <row r="77" spans="1:10" ht="12.75">
      <c r="A77" s="44"/>
      <c r="B77" s="1" t="s">
        <v>120</v>
      </c>
      <c r="C77" s="37">
        <v>3066</v>
      </c>
      <c r="F77" s="38"/>
      <c r="G77" s="39">
        <f>I77/(100+J77)*100</f>
        <v>0</v>
      </c>
      <c r="H77" s="39">
        <f>I77/(100+J77)*J77</f>
        <v>0</v>
      </c>
      <c r="I77" s="40"/>
      <c r="J77" s="1">
        <v>19</v>
      </c>
    </row>
    <row r="78" spans="1:10" ht="12.75">
      <c r="A78" s="44"/>
      <c r="B78" s="1" t="s">
        <v>120</v>
      </c>
      <c r="C78" s="37">
        <v>3067</v>
      </c>
      <c r="F78" s="38"/>
      <c r="G78" s="39">
        <f>I78/(100+J78)*100</f>
        <v>0</v>
      </c>
      <c r="H78" s="39">
        <f>I78/(100+J78)*J78</f>
        <v>0</v>
      </c>
      <c r="I78" s="40"/>
      <c r="J78" s="1">
        <v>19</v>
      </c>
    </row>
    <row r="79" spans="1:10" ht="12.75">
      <c r="A79" s="44"/>
      <c r="B79" s="1" t="s">
        <v>120</v>
      </c>
      <c r="C79" s="37">
        <v>3068</v>
      </c>
      <c r="F79" s="38"/>
      <c r="G79" s="39">
        <f>I79/(100+J79)*100</f>
        <v>0</v>
      </c>
      <c r="H79" s="39">
        <f>I79/(100+J79)*J79</f>
        <v>0</v>
      </c>
      <c r="I79" s="40"/>
      <c r="J79" s="1">
        <v>19</v>
      </c>
    </row>
    <row r="80" spans="1:10" ht="12.75">
      <c r="A80" s="44"/>
      <c r="B80" s="1" t="s">
        <v>120</v>
      </c>
      <c r="C80" s="37">
        <v>3069</v>
      </c>
      <c r="F80" s="38"/>
      <c r="G80" s="39">
        <f>I80/(100+J80)*100</f>
        <v>0</v>
      </c>
      <c r="H80" s="39">
        <f>I80/(100+J80)*J80</f>
        <v>0</v>
      </c>
      <c r="I80" s="40"/>
      <c r="J80" s="1">
        <v>19</v>
      </c>
    </row>
    <row r="81" spans="1:10" ht="12.75">
      <c r="A81" s="44"/>
      <c r="B81" s="1" t="s">
        <v>120</v>
      </c>
      <c r="C81" s="37">
        <v>3070</v>
      </c>
      <c r="F81" s="38"/>
      <c r="G81" s="39">
        <f>I81/(100+J81)*100</f>
        <v>0</v>
      </c>
      <c r="H81" s="39">
        <f>I81/(100+J81)*J81</f>
        <v>0</v>
      </c>
      <c r="I81" s="40"/>
      <c r="J81" s="1">
        <v>19</v>
      </c>
    </row>
    <row r="82" spans="1:10" ht="12.75">
      <c r="A82" s="44"/>
      <c r="B82" s="1" t="s">
        <v>120</v>
      </c>
      <c r="C82" s="37">
        <v>3071</v>
      </c>
      <c r="F82" s="57"/>
      <c r="G82" s="39">
        <f>I82/(100+J82)*100</f>
        <v>0</v>
      </c>
      <c r="H82" s="39">
        <f>I82/(100+J82)*J82</f>
        <v>0</v>
      </c>
      <c r="I82" s="40"/>
      <c r="J82" s="1">
        <v>19</v>
      </c>
    </row>
    <row r="83" spans="1:10" ht="12.75">
      <c r="A83" s="44"/>
      <c r="B83" s="1" t="s">
        <v>120</v>
      </c>
      <c r="C83" s="37">
        <v>3072</v>
      </c>
      <c r="F83" s="38"/>
      <c r="G83" s="39">
        <f>I83/(100+J83)*100</f>
        <v>0</v>
      </c>
      <c r="H83" s="39">
        <f>I83/(100+J83)*J83</f>
        <v>0</v>
      </c>
      <c r="I83" s="40"/>
      <c r="J83" s="1">
        <v>19</v>
      </c>
    </row>
    <row r="84" spans="1:10" ht="12.75">
      <c r="A84" s="44"/>
      <c r="B84" s="1" t="s">
        <v>120</v>
      </c>
      <c r="C84" s="37">
        <v>3073</v>
      </c>
      <c r="F84" s="38"/>
      <c r="G84" s="39">
        <f>I84/(100+J84)*100</f>
        <v>0</v>
      </c>
      <c r="H84" s="39">
        <f>I84/(100+J84)*J84</f>
        <v>0</v>
      </c>
      <c r="I84" s="40"/>
      <c r="J84" s="1">
        <v>19</v>
      </c>
    </row>
    <row r="85" spans="1:10" ht="12.75">
      <c r="A85" s="44"/>
      <c r="B85" s="1" t="s">
        <v>120</v>
      </c>
      <c r="C85" s="37">
        <v>3074</v>
      </c>
      <c r="F85" s="38"/>
      <c r="G85" s="39">
        <f>I84/(100+J85)*100</f>
        <v>0</v>
      </c>
      <c r="H85" s="39">
        <f>I84/(100+J85)*J85</f>
        <v>0</v>
      </c>
      <c r="I85" s="45"/>
      <c r="J85" s="1">
        <v>19</v>
      </c>
    </row>
    <row r="86" spans="1:10" ht="12.75">
      <c r="A86" s="44"/>
      <c r="B86" s="1" t="s">
        <v>120</v>
      </c>
      <c r="C86" s="37">
        <v>3075</v>
      </c>
      <c r="F86" s="38"/>
      <c r="G86" s="39">
        <f>I86/(100+J86)*100</f>
        <v>0</v>
      </c>
      <c r="H86" s="39">
        <f>I86/(100+J86)*J86</f>
        <v>0</v>
      </c>
      <c r="I86" s="40"/>
      <c r="J86" s="1">
        <v>19</v>
      </c>
    </row>
    <row r="87" spans="1:10" ht="12.75">
      <c r="A87" s="44"/>
      <c r="B87" s="1" t="s">
        <v>120</v>
      </c>
      <c r="C87" s="37">
        <v>3076</v>
      </c>
      <c r="F87" s="38"/>
      <c r="G87" s="39">
        <f>I87/(100+J87)*100</f>
        <v>0</v>
      </c>
      <c r="H87" s="39">
        <f>I87/(100+J87)*J87</f>
        <v>0</v>
      </c>
      <c r="I87" s="40"/>
      <c r="J87" s="1">
        <v>19</v>
      </c>
    </row>
    <row r="88" spans="1:10" ht="12.75">
      <c r="A88" s="44"/>
      <c r="B88" s="1" t="s">
        <v>120</v>
      </c>
      <c r="C88" s="37">
        <v>3077</v>
      </c>
      <c r="F88" s="38"/>
      <c r="G88" s="39">
        <f>I88/(100+J88)*100</f>
        <v>0</v>
      </c>
      <c r="H88" s="39">
        <f>I88/(100+J88)*J88</f>
        <v>0</v>
      </c>
      <c r="I88" s="40"/>
      <c r="J88" s="1">
        <v>19</v>
      </c>
    </row>
    <row r="89" spans="1:10" ht="12.75">
      <c r="A89" s="44"/>
      <c r="B89" s="1" t="s">
        <v>120</v>
      </c>
      <c r="C89" s="37">
        <v>3078</v>
      </c>
      <c r="F89" s="38"/>
      <c r="G89" s="39">
        <f>I89/(100+J89)*100</f>
        <v>0</v>
      </c>
      <c r="H89" s="39">
        <f>I89/(100+J89)*J89</f>
        <v>0</v>
      </c>
      <c r="I89" s="40"/>
      <c r="J89" s="1">
        <v>19</v>
      </c>
    </row>
    <row r="90" spans="1:10" ht="12.75">
      <c r="A90" s="44"/>
      <c r="B90" s="1" t="s">
        <v>120</v>
      </c>
      <c r="C90" s="37">
        <v>3079</v>
      </c>
      <c r="F90" s="57"/>
      <c r="G90" s="39">
        <f>I90/(100+J90)*100</f>
        <v>0</v>
      </c>
      <c r="H90" s="39">
        <f>I90/(100+J90)*J90</f>
        <v>0</v>
      </c>
      <c r="I90" s="40"/>
      <c r="J90" s="1">
        <v>19</v>
      </c>
    </row>
    <row r="91" spans="1:10" ht="12.75">
      <c r="A91" s="44"/>
      <c r="B91" s="1" t="s">
        <v>120</v>
      </c>
      <c r="C91" s="37">
        <v>3080</v>
      </c>
      <c r="F91" s="57"/>
      <c r="G91" s="39">
        <f>I91/(100+J91)*100</f>
        <v>0</v>
      </c>
      <c r="H91" s="39">
        <f>I91/(100+J91)*J91</f>
        <v>0</v>
      </c>
      <c r="I91" s="40"/>
      <c r="J91" s="1">
        <v>19</v>
      </c>
    </row>
    <row r="92" spans="1:10" ht="12.75">
      <c r="A92" s="44"/>
      <c r="B92" s="1" t="s">
        <v>120</v>
      </c>
      <c r="C92" s="37">
        <v>3081</v>
      </c>
      <c r="F92" s="46"/>
      <c r="G92" s="39">
        <f>I92/(100+J92)*100</f>
        <v>0</v>
      </c>
      <c r="H92" s="39">
        <f>I92/(100+J92)*J92</f>
        <v>0</v>
      </c>
      <c r="I92" s="40"/>
      <c r="J92" s="1">
        <v>19</v>
      </c>
    </row>
    <row r="93" spans="1:10" ht="12.75">
      <c r="A93" s="44"/>
      <c r="B93" s="1" t="s">
        <v>120</v>
      </c>
      <c r="C93" s="37">
        <v>3082</v>
      </c>
      <c r="F93" s="38"/>
      <c r="G93" s="39">
        <f>I93/(100+J93)*100</f>
        <v>0</v>
      </c>
      <c r="H93" s="39">
        <f>I93/(100+J93)*J93</f>
        <v>0</v>
      </c>
      <c r="I93" s="40"/>
      <c r="J93" s="1">
        <v>19</v>
      </c>
    </row>
    <row r="94" spans="1:10" ht="12.75">
      <c r="A94" s="44"/>
      <c r="B94" s="1" t="s">
        <v>120</v>
      </c>
      <c r="C94" s="37">
        <v>3083</v>
      </c>
      <c r="F94" s="38"/>
      <c r="G94" s="39">
        <f>I94/(100+J94)*100</f>
        <v>0</v>
      </c>
      <c r="H94" s="39">
        <f>I94/(100+J94)*J94</f>
        <v>0</v>
      </c>
      <c r="I94" s="40"/>
      <c r="J94" s="1">
        <v>19</v>
      </c>
    </row>
    <row r="95" spans="1:10" ht="12.75">
      <c r="A95" s="44"/>
      <c r="B95" s="1" t="s">
        <v>120</v>
      </c>
      <c r="C95" s="37">
        <v>3084</v>
      </c>
      <c r="F95" s="38"/>
      <c r="G95" s="39">
        <f>I95/(100+J95)*100</f>
        <v>0</v>
      </c>
      <c r="H95" s="39">
        <f>I95/(100+J95)*J95</f>
        <v>0</v>
      </c>
      <c r="I95" s="40"/>
      <c r="J95" s="1">
        <v>19</v>
      </c>
    </row>
    <row r="96" spans="1:10" ht="12.75">
      <c r="A96" s="44"/>
      <c r="B96" s="1" t="s">
        <v>120</v>
      </c>
      <c r="C96" s="37">
        <v>3085</v>
      </c>
      <c r="F96" s="38"/>
      <c r="G96" s="39">
        <f>I96/(100+J96)*100</f>
        <v>0</v>
      </c>
      <c r="H96" s="39">
        <f>I96/(100+J96)*J96</f>
        <v>0</v>
      </c>
      <c r="I96" s="40"/>
      <c r="J96" s="1">
        <v>19</v>
      </c>
    </row>
    <row r="97" spans="1:10" ht="12.75">
      <c r="A97" s="44"/>
      <c r="B97" s="1" t="s">
        <v>120</v>
      </c>
      <c r="C97" s="37">
        <v>3086</v>
      </c>
      <c r="F97" s="38"/>
      <c r="G97" s="39">
        <f>I97/(100+J97)*100</f>
        <v>0</v>
      </c>
      <c r="H97" s="39">
        <f>I97/(100+J97)*J97</f>
        <v>0</v>
      </c>
      <c r="I97" s="40"/>
      <c r="J97" s="1">
        <v>19</v>
      </c>
    </row>
    <row r="98" spans="1:10" ht="12.75">
      <c r="A98" s="44"/>
      <c r="B98" s="1" t="s">
        <v>120</v>
      </c>
      <c r="C98" s="37">
        <v>3087</v>
      </c>
      <c r="F98" s="38"/>
      <c r="G98" s="39">
        <f>I98/(100+J98)*100</f>
        <v>0</v>
      </c>
      <c r="H98" s="39">
        <f>I98/(100+J98)*J98</f>
        <v>0</v>
      </c>
      <c r="I98" s="40"/>
      <c r="J98" s="1">
        <v>19</v>
      </c>
    </row>
    <row r="99" spans="1:10" ht="12.75">
      <c r="A99" s="44"/>
      <c r="B99" s="1" t="s">
        <v>120</v>
      </c>
      <c r="C99" s="37">
        <v>3088</v>
      </c>
      <c r="F99" s="38"/>
      <c r="G99" s="39">
        <f>I99/(100+J99)*100</f>
        <v>0</v>
      </c>
      <c r="H99" s="39">
        <f>I99/(100+J99)*J99</f>
        <v>0</v>
      </c>
      <c r="I99" s="40"/>
      <c r="J99" s="1">
        <v>19</v>
      </c>
    </row>
    <row r="100" spans="1:10" ht="12.75">
      <c r="A100" s="44"/>
      <c r="B100" s="1" t="s">
        <v>120</v>
      </c>
      <c r="C100" s="37">
        <v>3089</v>
      </c>
      <c r="F100" s="38"/>
      <c r="G100" s="39">
        <f>I100/(100+J100)*100</f>
        <v>0</v>
      </c>
      <c r="H100" s="39">
        <f>I100/(100+J100)*J100</f>
        <v>0</v>
      </c>
      <c r="I100" s="40"/>
      <c r="J100" s="1">
        <v>19</v>
      </c>
    </row>
    <row r="101" spans="1:10" ht="12.75">
      <c r="A101" s="44"/>
      <c r="B101" s="1" t="s">
        <v>120</v>
      </c>
      <c r="C101" s="37">
        <v>3090</v>
      </c>
      <c r="F101" s="38"/>
      <c r="G101" s="39">
        <f>I101/(100+J101)*100</f>
        <v>0</v>
      </c>
      <c r="H101" s="39">
        <f>I101/(100+J101)*J101</f>
        <v>0</v>
      </c>
      <c r="I101" s="40"/>
      <c r="J101" s="1">
        <v>19</v>
      </c>
    </row>
    <row r="102" spans="1:10" ht="12.75">
      <c r="A102" s="44"/>
      <c r="B102" s="1" t="s">
        <v>120</v>
      </c>
      <c r="C102" s="37">
        <v>3091</v>
      </c>
      <c r="F102" s="38"/>
      <c r="G102" s="39">
        <f>I102/(100+J102)*100</f>
        <v>0</v>
      </c>
      <c r="H102" s="39">
        <f>I102/(100+J102)*J102</f>
        <v>0</v>
      </c>
      <c r="I102" s="40"/>
      <c r="J102" s="1">
        <v>19</v>
      </c>
    </row>
    <row r="103" spans="1:10" ht="12.75">
      <c r="A103" s="44"/>
      <c r="B103" s="1" t="s">
        <v>120</v>
      </c>
      <c r="C103" s="37">
        <v>3092</v>
      </c>
      <c r="F103" s="38"/>
      <c r="G103" s="39">
        <f>I103/(100+J103)*100</f>
        <v>0</v>
      </c>
      <c r="H103" s="39">
        <f>I103/(100+J103)*J103</f>
        <v>0</v>
      </c>
      <c r="I103" s="40"/>
      <c r="J103" s="1">
        <v>19</v>
      </c>
    </row>
    <row r="104" spans="1:10" ht="12.75">
      <c r="A104" s="44"/>
      <c r="B104" s="1" t="s">
        <v>120</v>
      </c>
      <c r="C104" s="37">
        <v>3093</v>
      </c>
      <c r="F104" s="38"/>
      <c r="G104" s="39">
        <f>I104/(100+J104)*100</f>
        <v>0</v>
      </c>
      <c r="H104" s="39">
        <f>I104/(100+J104)*J104</f>
        <v>0</v>
      </c>
      <c r="I104" s="40"/>
      <c r="J104" s="1">
        <v>19</v>
      </c>
    </row>
    <row r="105" spans="1:10" ht="12.75">
      <c r="A105" s="44"/>
      <c r="B105" s="1" t="s">
        <v>120</v>
      </c>
      <c r="C105" s="37">
        <v>3094</v>
      </c>
      <c r="F105" s="38"/>
      <c r="G105" s="39">
        <f>I105/(100+J105)*100</f>
        <v>0</v>
      </c>
      <c r="H105" s="39">
        <f>I105/(100+J105)*J105</f>
        <v>0</v>
      </c>
      <c r="I105" s="40"/>
      <c r="J105" s="1">
        <v>19</v>
      </c>
    </row>
    <row r="106" spans="1:10" ht="12.75">
      <c r="A106" s="44"/>
      <c r="B106" s="1" t="s">
        <v>120</v>
      </c>
      <c r="C106" s="37">
        <v>3095</v>
      </c>
      <c r="F106" s="38"/>
      <c r="G106" s="39">
        <f>I106/(100+J106)*100</f>
        <v>0</v>
      </c>
      <c r="H106" s="39">
        <f>I106/(100+J106)*J106</f>
        <v>0</v>
      </c>
      <c r="I106" s="40"/>
      <c r="J106" s="1">
        <v>19</v>
      </c>
    </row>
    <row r="107" spans="1:10" ht="12.75">
      <c r="A107" s="44"/>
      <c r="B107" s="1" t="s">
        <v>120</v>
      </c>
      <c r="C107" s="37">
        <v>3096</v>
      </c>
      <c r="F107" s="38"/>
      <c r="G107" s="39">
        <f>I107/(100+J107)*100</f>
        <v>0</v>
      </c>
      <c r="H107" s="39">
        <f>I107/(100+J107)*J107</f>
        <v>0</v>
      </c>
      <c r="I107" s="40"/>
      <c r="J107" s="1">
        <v>19</v>
      </c>
    </row>
    <row r="108" spans="1:10" ht="12.75">
      <c r="A108" s="44"/>
      <c r="B108" s="1" t="s">
        <v>120</v>
      </c>
      <c r="C108" s="37">
        <v>3097</v>
      </c>
      <c r="F108" s="38"/>
      <c r="G108" s="39">
        <f>I108/(100+J108)*100</f>
        <v>0</v>
      </c>
      <c r="H108" s="39">
        <f>I108/(100+J108)*J108</f>
        <v>0</v>
      </c>
      <c r="I108" s="40"/>
      <c r="J108" s="1">
        <v>19</v>
      </c>
    </row>
    <row r="109" spans="1:10" ht="12.75">
      <c r="A109" s="44"/>
      <c r="B109" s="1" t="s">
        <v>120</v>
      </c>
      <c r="C109" s="37">
        <v>3098</v>
      </c>
      <c r="F109" s="38"/>
      <c r="G109" s="39">
        <f>I109/(100+J109)*100</f>
        <v>0</v>
      </c>
      <c r="H109" s="39">
        <f>I109/(100+J109)*J109</f>
        <v>0</v>
      </c>
      <c r="I109" s="40"/>
      <c r="J109" s="1">
        <v>19</v>
      </c>
    </row>
    <row r="110" spans="1:10" ht="12.75">
      <c r="A110" s="44"/>
      <c r="B110" s="1" t="s">
        <v>120</v>
      </c>
      <c r="C110" s="37">
        <v>3099</v>
      </c>
      <c r="F110" s="38"/>
      <c r="G110" s="39">
        <f>I110/(100+J110)*100</f>
        <v>0</v>
      </c>
      <c r="H110" s="39">
        <f>I110/(100+J110)*J110</f>
        <v>0</v>
      </c>
      <c r="I110" s="40"/>
      <c r="J110" s="1">
        <v>19</v>
      </c>
    </row>
    <row r="111" spans="1:10" ht="12.75">
      <c r="A111" s="44"/>
      <c r="B111" s="1" t="s">
        <v>120</v>
      </c>
      <c r="C111" s="37">
        <v>3100</v>
      </c>
      <c r="F111" s="38"/>
      <c r="G111" s="39">
        <f>I111/(100+J111)*100</f>
        <v>0</v>
      </c>
      <c r="H111" s="39">
        <f>I111/(100+J111)*J111</f>
        <v>0</v>
      </c>
      <c r="I111" s="40"/>
      <c r="J111" s="1">
        <v>19</v>
      </c>
    </row>
    <row r="112" spans="1:10" ht="12.75">
      <c r="A112" s="44"/>
      <c r="B112" s="1" t="s">
        <v>120</v>
      </c>
      <c r="C112" s="37">
        <v>3101</v>
      </c>
      <c r="F112" s="38"/>
      <c r="G112" s="39">
        <f>I112/(100+J112)*100</f>
        <v>0</v>
      </c>
      <c r="H112" s="39">
        <f>I112/(100+J112)*J112</f>
        <v>0</v>
      </c>
      <c r="I112" s="40"/>
      <c r="J112" s="1">
        <v>19</v>
      </c>
    </row>
    <row r="113" spans="1:10" ht="12.75">
      <c r="A113" s="44"/>
      <c r="B113" s="1" t="s">
        <v>120</v>
      </c>
      <c r="C113" s="37">
        <v>3102</v>
      </c>
      <c r="F113" s="38"/>
      <c r="G113" s="39">
        <f>I113/(100+J113)*100</f>
        <v>0</v>
      </c>
      <c r="H113" s="39">
        <f>I113/(100+J113)*J113</f>
        <v>0</v>
      </c>
      <c r="I113" s="40"/>
      <c r="J113" s="1">
        <v>19</v>
      </c>
    </row>
    <row r="114" spans="1:10" ht="12.75">
      <c r="A114" s="44"/>
      <c r="B114" s="1" t="s">
        <v>120</v>
      </c>
      <c r="C114" s="37">
        <v>3103</v>
      </c>
      <c r="F114" s="38"/>
      <c r="G114" s="39">
        <f>I114/(100+J114)*100</f>
        <v>0</v>
      </c>
      <c r="H114" s="39">
        <f>I114/(100+J114)*J114</f>
        <v>0</v>
      </c>
      <c r="I114" s="40"/>
      <c r="J114" s="1">
        <v>19</v>
      </c>
    </row>
    <row r="115" spans="1:10" ht="12.75">
      <c r="A115" s="44"/>
      <c r="B115" s="1" t="s">
        <v>120</v>
      </c>
      <c r="C115" s="37">
        <v>3104</v>
      </c>
      <c r="F115" s="38"/>
      <c r="G115" s="39">
        <f>I115/(100+J115)*100</f>
        <v>0</v>
      </c>
      <c r="H115" s="39">
        <f>I115/(100+J115)*J115</f>
        <v>0</v>
      </c>
      <c r="I115" s="40"/>
      <c r="J115" s="1">
        <v>19</v>
      </c>
    </row>
    <row r="116" spans="1:10" ht="12.75">
      <c r="A116" s="44"/>
      <c r="B116" s="1" t="s">
        <v>120</v>
      </c>
      <c r="C116" s="37">
        <v>3105</v>
      </c>
      <c r="F116" s="38"/>
      <c r="G116" s="39">
        <f>I116/(100+J116)*100</f>
        <v>0</v>
      </c>
      <c r="H116" s="39">
        <f>I116/(100+J116)*J116</f>
        <v>0</v>
      </c>
      <c r="I116" s="40"/>
      <c r="J116" s="1">
        <v>19</v>
      </c>
    </row>
    <row r="117" spans="1:10" ht="12.75">
      <c r="A117" s="44"/>
      <c r="B117" s="1" t="s">
        <v>120</v>
      </c>
      <c r="C117" s="37">
        <v>3106</v>
      </c>
      <c r="F117" s="38"/>
      <c r="G117" s="39">
        <f>I117/(100+J117)*100</f>
        <v>0</v>
      </c>
      <c r="H117" s="39">
        <f>I117/(100+J117)*J117</f>
        <v>0</v>
      </c>
      <c r="I117" s="40"/>
      <c r="J117" s="1">
        <v>19</v>
      </c>
    </row>
    <row r="118" spans="1:10" ht="12.75">
      <c r="A118" s="44"/>
      <c r="B118" s="1" t="s">
        <v>120</v>
      </c>
      <c r="C118" s="37">
        <v>3107</v>
      </c>
      <c r="F118" s="38"/>
      <c r="G118" s="39">
        <f>I118/(100+J118)*100</f>
        <v>0</v>
      </c>
      <c r="H118" s="39">
        <f>I118/(100+J118)*J118</f>
        <v>0</v>
      </c>
      <c r="I118" s="40"/>
      <c r="J118" s="1">
        <v>19</v>
      </c>
    </row>
    <row r="119" spans="1:10" ht="12.75">
      <c r="A119" s="44"/>
      <c r="B119" s="1" t="s">
        <v>120</v>
      </c>
      <c r="C119" s="37">
        <v>3108</v>
      </c>
      <c r="F119" s="38"/>
      <c r="G119" s="39">
        <f>I119/(100+J119)*100</f>
        <v>0</v>
      </c>
      <c r="H119" s="39">
        <f>I119/(100+J119)*J119</f>
        <v>0</v>
      </c>
      <c r="I119" s="40"/>
      <c r="J119" s="1">
        <v>19</v>
      </c>
    </row>
    <row r="120" spans="1:10" ht="12.75">
      <c r="A120" s="44"/>
      <c r="B120" s="1" t="s">
        <v>120</v>
      </c>
      <c r="C120" s="37">
        <v>3109</v>
      </c>
      <c r="F120" s="38"/>
      <c r="G120" s="39">
        <f>I120/(100+J120)*100</f>
        <v>0</v>
      </c>
      <c r="H120" s="39">
        <f>I120/(100+J120)*J120</f>
        <v>0</v>
      </c>
      <c r="I120" s="40"/>
      <c r="J120" s="1">
        <v>19</v>
      </c>
    </row>
    <row r="121" spans="1:10" ht="12.75">
      <c r="A121" s="44"/>
      <c r="B121" s="1" t="s">
        <v>120</v>
      </c>
      <c r="C121" s="37">
        <v>3110</v>
      </c>
      <c r="F121" s="38"/>
      <c r="G121" s="39">
        <f>I121/(100+J121)*100</f>
        <v>0</v>
      </c>
      <c r="H121" s="39">
        <f>I121/(100+J121)*J121</f>
        <v>0</v>
      </c>
      <c r="I121" s="40"/>
      <c r="J121" s="1">
        <v>19</v>
      </c>
    </row>
    <row r="122" spans="1:10" ht="12.75">
      <c r="A122" s="44"/>
      <c r="B122" s="1" t="s">
        <v>120</v>
      </c>
      <c r="C122" s="37">
        <v>3111</v>
      </c>
      <c r="F122" s="38"/>
      <c r="G122" s="39">
        <f>I122/(100+J122)*100</f>
        <v>0</v>
      </c>
      <c r="H122" s="39">
        <f>I122/(100+J122)*J122</f>
        <v>0</v>
      </c>
      <c r="I122" s="40"/>
      <c r="J122" s="1">
        <v>19</v>
      </c>
    </row>
    <row r="123" spans="1:10" ht="12.75">
      <c r="A123" s="44"/>
      <c r="B123" s="1" t="s">
        <v>120</v>
      </c>
      <c r="C123" s="37">
        <v>3112</v>
      </c>
      <c r="F123" s="38"/>
      <c r="G123" s="39">
        <f>I123/(100+J123)*100</f>
        <v>0</v>
      </c>
      <c r="H123" s="39">
        <f>I123/(100+J123)*J123</f>
        <v>0</v>
      </c>
      <c r="I123" s="40"/>
      <c r="J123" s="1">
        <v>19</v>
      </c>
    </row>
    <row r="124" spans="1:10" ht="12.75">
      <c r="A124" s="44"/>
      <c r="B124" s="1" t="s">
        <v>120</v>
      </c>
      <c r="C124" s="37">
        <v>3113</v>
      </c>
      <c r="F124" s="38"/>
      <c r="G124" s="39">
        <f>I124/(100+J124)*100</f>
        <v>0</v>
      </c>
      <c r="H124" s="39">
        <f>I124/(100+J124)*J124</f>
        <v>0</v>
      </c>
      <c r="I124" s="40"/>
      <c r="J124" s="1">
        <v>19</v>
      </c>
    </row>
    <row r="125" spans="1:10" ht="12.75">
      <c r="A125" s="44"/>
      <c r="B125" s="1" t="s">
        <v>120</v>
      </c>
      <c r="C125" s="37">
        <v>3114</v>
      </c>
      <c r="F125" s="38"/>
      <c r="G125" s="39">
        <f>I125/(100+J125)*100</f>
        <v>0</v>
      </c>
      <c r="H125" s="39">
        <f>I125/(100+J125)*J125</f>
        <v>0</v>
      </c>
      <c r="I125" s="40"/>
      <c r="J125" s="1">
        <v>19</v>
      </c>
    </row>
    <row r="126" spans="1:10" ht="12.75">
      <c r="A126" s="44"/>
      <c r="B126" s="1" t="s">
        <v>120</v>
      </c>
      <c r="C126" s="37">
        <v>3115</v>
      </c>
      <c r="F126" s="38"/>
      <c r="G126" s="39">
        <f>I126/(100+J126)*100</f>
        <v>0</v>
      </c>
      <c r="H126" s="39">
        <f>I126/(100+J126)*J126</f>
        <v>0</v>
      </c>
      <c r="I126" s="40"/>
      <c r="J126" s="1">
        <v>19</v>
      </c>
    </row>
    <row r="127" spans="1:10" ht="12.75">
      <c r="A127" s="44"/>
      <c r="B127" s="1" t="s">
        <v>120</v>
      </c>
      <c r="C127" s="37">
        <v>3116</v>
      </c>
      <c r="F127" s="38"/>
      <c r="G127" s="39">
        <f>I127/(100+J127)*100</f>
        <v>0</v>
      </c>
      <c r="H127" s="39">
        <f>I127/(100+J127)*J127</f>
        <v>0</v>
      </c>
      <c r="I127" s="40"/>
      <c r="J127" s="1">
        <v>19</v>
      </c>
    </row>
    <row r="128" spans="1:10" ht="12.75">
      <c r="A128" s="44"/>
      <c r="B128" s="1" t="s">
        <v>120</v>
      </c>
      <c r="C128" s="37">
        <v>3117</v>
      </c>
      <c r="F128" s="38"/>
      <c r="G128" s="39">
        <f>I128/(100+J128)*100</f>
        <v>0</v>
      </c>
      <c r="H128" s="39">
        <f>I128/(100+J128)*J128</f>
        <v>0</v>
      </c>
      <c r="I128" s="40"/>
      <c r="J128" s="1">
        <v>19</v>
      </c>
    </row>
    <row r="129" spans="1:10" ht="12.75">
      <c r="A129" s="44"/>
      <c r="B129" s="1" t="s">
        <v>120</v>
      </c>
      <c r="C129" s="37">
        <v>3118</v>
      </c>
      <c r="F129" s="38"/>
      <c r="G129" s="39">
        <f>I129/(100+J129)*100</f>
        <v>0</v>
      </c>
      <c r="H129" s="39">
        <f>I129/(100+J129)*J129</f>
        <v>0</v>
      </c>
      <c r="I129" s="40"/>
      <c r="J129" s="1">
        <v>19</v>
      </c>
    </row>
    <row r="130" spans="1:10" ht="12.75">
      <c r="A130" s="44"/>
      <c r="B130" s="1" t="s">
        <v>120</v>
      </c>
      <c r="C130" s="37">
        <v>3119</v>
      </c>
      <c r="F130" s="38"/>
      <c r="G130" s="39">
        <f>I130/(100+J130)*100</f>
        <v>0</v>
      </c>
      <c r="H130" s="39">
        <f>I130/(100+J130)*J130</f>
        <v>0</v>
      </c>
      <c r="I130" s="40"/>
      <c r="J130" s="1">
        <v>19</v>
      </c>
    </row>
    <row r="131" spans="1:10" ht="12.75">
      <c r="A131" s="44"/>
      <c r="B131" s="1" t="s">
        <v>120</v>
      </c>
      <c r="C131" s="37">
        <v>3120</v>
      </c>
      <c r="F131" s="38"/>
      <c r="G131" s="39">
        <f>I131/(100+J131)*100</f>
        <v>0</v>
      </c>
      <c r="H131" s="39">
        <f>I131/(100+J131)*J131</f>
        <v>0</v>
      </c>
      <c r="I131" s="40"/>
      <c r="J131" s="1">
        <v>19</v>
      </c>
    </row>
    <row r="132" spans="1:10" ht="12.75">
      <c r="A132" s="44"/>
      <c r="B132" s="1" t="s">
        <v>120</v>
      </c>
      <c r="C132" s="37">
        <v>3121</v>
      </c>
      <c r="F132" s="38"/>
      <c r="G132" s="39">
        <f>I132/(100+J132)*100</f>
        <v>0</v>
      </c>
      <c r="H132" s="39">
        <f>I132/(100+J132)*J132</f>
        <v>0</v>
      </c>
      <c r="I132" s="40"/>
      <c r="J132" s="1">
        <v>19</v>
      </c>
    </row>
    <row r="133" spans="1:10" ht="12.75">
      <c r="A133" s="44"/>
      <c r="B133" s="1" t="s">
        <v>120</v>
      </c>
      <c r="C133" s="37">
        <v>3122</v>
      </c>
      <c r="F133" s="38"/>
      <c r="G133" s="39">
        <f>I133/(100+J133)*100</f>
        <v>0</v>
      </c>
      <c r="H133" s="39">
        <f>I133/(100+J133)*J133</f>
        <v>0</v>
      </c>
      <c r="I133" s="40"/>
      <c r="J133" s="1">
        <v>19</v>
      </c>
    </row>
    <row r="134" spans="1:10" ht="12.75">
      <c r="A134" s="44"/>
      <c r="B134" s="1" t="s">
        <v>120</v>
      </c>
      <c r="C134" s="37">
        <v>3123</v>
      </c>
      <c r="F134" s="38"/>
      <c r="G134" s="39">
        <f>I134/(100+J134)*100</f>
        <v>0</v>
      </c>
      <c r="H134" s="39">
        <f>I134/(100+J134)*J134</f>
        <v>0</v>
      </c>
      <c r="I134" s="40"/>
      <c r="J134" s="1">
        <v>19</v>
      </c>
    </row>
    <row r="135" spans="1:10" ht="12.75">
      <c r="A135" s="44"/>
      <c r="B135" s="1" t="s">
        <v>120</v>
      </c>
      <c r="C135" s="37">
        <v>3124</v>
      </c>
      <c r="F135" s="38"/>
      <c r="G135" s="39">
        <f>I135/(100+J135)*100</f>
        <v>0</v>
      </c>
      <c r="H135" s="39">
        <f>I135/(100+J135)*J135</f>
        <v>0</v>
      </c>
      <c r="I135" s="40"/>
      <c r="J135" s="1">
        <v>19</v>
      </c>
    </row>
    <row r="136" spans="1:10" ht="12.75">
      <c r="A136" s="44"/>
      <c r="B136" s="1" t="s">
        <v>120</v>
      </c>
      <c r="C136" s="37">
        <v>3125</v>
      </c>
      <c r="F136" s="38"/>
      <c r="G136" s="39">
        <f>I136/(100+J136)*100</f>
        <v>0</v>
      </c>
      <c r="H136" s="39">
        <f>I136/(100+J136)*J136</f>
        <v>0</v>
      </c>
      <c r="I136" s="40"/>
      <c r="J136" s="1">
        <v>19</v>
      </c>
    </row>
    <row r="137" spans="1:10" ht="12.75">
      <c r="A137" s="44"/>
      <c r="B137" s="1" t="s">
        <v>120</v>
      </c>
      <c r="C137" s="37">
        <v>3126</v>
      </c>
      <c r="F137" s="38"/>
      <c r="G137" s="39">
        <f>I137/(100+J137)*100</f>
        <v>0</v>
      </c>
      <c r="H137" s="39">
        <f>I137/(100+J137)*J137</f>
        <v>0</v>
      </c>
      <c r="I137" s="40"/>
      <c r="J137" s="1">
        <v>19</v>
      </c>
    </row>
    <row r="138" spans="1:10" ht="12.75">
      <c r="A138" s="44"/>
      <c r="B138" s="1" t="s">
        <v>120</v>
      </c>
      <c r="C138" s="37">
        <v>3127</v>
      </c>
      <c r="F138" s="38"/>
      <c r="G138" s="39">
        <f>I138/(100+J138)*100</f>
        <v>0</v>
      </c>
      <c r="H138" s="39">
        <f>I138/(100+J138)*J138</f>
        <v>0</v>
      </c>
      <c r="I138" s="40"/>
      <c r="J138" s="1">
        <v>19</v>
      </c>
    </row>
    <row r="139" spans="1:10" ht="12.75">
      <c r="A139" s="44"/>
      <c r="B139" s="1" t="s">
        <v>120</v>
      </c>
      <c r="C139" s="37">
        <v>3128</v>
      </c>
      <c r="F139" s="38"/>
      <c r="G139" s="39">
        <f>I139/(100+J139)*100</f>
        <v>0</v>
      </c>
      <c r="H139" s="39">
        <f>I139/(100+J139)*J139</f>
        <v>0</v>
      </c>
      <c r="I139" s="40"/>
      <c r="J139" s="1">
        <v>19</v>
      </c>
    </row>
    <row r="140" spans="1:10" ht="12.75">
      <c r="A140" s="44"/>
      <c r="B140" s="1" t="s">
        <v>120</v>
      </c>
      <c r="C140" s="37">
        <v>3129</v>
      </c>
      <c r="F140" s="38"/>
      <c r="G140" s="39">
        <f>I140/(100+J140)*100</f>
        <v>0</v>
      </c>
      <c r="H140" s="39">
        <f>I140/(100+J140)*J140</f>
        <v>0</v>
      </c>
      <c r="I140" s="40"/>
      <c r="J140" s="1">
        <v>19</v>
      </c>
    </row>
    <row r="141" spans="1:10" ht="12.75">
      <c r="A141" s="44"/>
      <c r="B141" s="1" t="s">
        <v>120</v>
      </c>
      <c r="C141" s="37">
        <v>3130</v>
      </c>
      <c r="F141" s="38"/>
      <c r="G141" s="39">
        <f>I141/(100+J141)*100</f>
        <v>0</v>
      </c>
      <c r="H141" s="39">
        <f>I141/(100+J141)*J141</f>
        <v>0</v>
      </c>
      <c r="I141" s="40"/>
      <c r="J141" s="1">
        <v>19</v>
      </c>
    </row>
    <row r="142" spans="1:10" ht="12.75">
      <c r="A142" s="44"/>
      <c r="B142" s="1" t="s">
        <v>120</v>
      </c>
      <c r="C142" s="37">
        <v>3131</v>
      </c>
      <c r="F142" s="38"/>
      <c r="G142" s="39">
        <f>I142/(100+J142)*100</f>
        <v>0</v>
      </c>
      <c r="H142" s="39">
        <f>I142/(100+J142)*J142</f>
        <v>0</v>
      </c>
      <c r="I142" s="40"/>
      <c r="J142" s="1">
        <v>19</v>
      </c>
    </row>
    <row r="143" spans="1:10" ht="12.75">
      <c r="A143" s="44"/>
      <c r="B143" s="1" t="s">
        <v>120</v>
      </c>
      <c r="C143" s="37">
        <v>3132</v>
      </c>
      <c r="F143" s="38"/>
      <c r="G143" s="39">
        <f>I143/(100+J143)*100</f>
        <v>0</v>
      </c>
      <c r="H143" s="39">
        <f>I143/(100+J143)*J143</f>
        <v>0</v>
      </c>
      <c r="I143" s="40"/>
      <c r="J143" s="1">
        <v>19</v>
      </c>
    </row>
    <row r="144" spans="1:10" ht="12.75">
      <c r="A144" s="44"/>
      <c r="B144" s="1" t="s">
        <v>120</v>
      </c>
      <c r="C144" s="37">
        <v>3133</v>
      </c>
      <c r="F144" s="38"/>
      <c r="G144" s="39">
        <f>I144/(100+J144)*100</f>
        <v>0</v>
      </c>
      <c r="H144" s="39">
        <f>I144/(100+J144)*J144</f>
        <v>0</v>
      </c>
      <c r="I144" s="40"/>
      <c r="J144" s="1">
        <v>19</v>
      </c>
    </row>
    <row r="145" spans="1:10" ht="12.75">
      <c r="A145" s="44"/>
      <c r="B145" s="1" t="s">
        <v>120</v>
      </c>
      <c r="C145" s="37">
        <v>3134</v>
      </c>
      <c r="E145" s="1" t="s">
        <v>121</v>
      </c>
      <c r="F145" s="38"/>
      <c r="G145" s="39">
        <f>I145/(100+J145)*100</f>
        <v>0</v>
      </c>
      <c r="H145" s="39">
        <f>I145/(100+J145)*J145</f>
        <v>0</v>
      </c>
      <c r="I145" s="40"/>
      <c r="J145" s="1">
        <v>19</v>
      </c>
    </row>
    <row r="146" spans="1:10" ht="12.75">
      <c r="A146" s="44"/>
      <c r="B146" s="1" t="s">
        <v>120</v>
      </c>
      <c r="C146" s="37">
        <v>3135</v>
      </c>
      <c r="F146" s="38"/>
      <c r="G146" s="39">
        <f>I146/(100+J146)*100</f>
        <v>0</v>
      </c>
      <c r="H146" s="39">
        <f>I146/(100+J146)*J146</f>
        <v>0</v>
      </c>
      <c r="I146" s="40"/>
      <c r="J146" s="1">
        <v>19</v>
      </c>
    </row>
    <row r="147" spans="1:10" ht="12.75">
      <c r="A147" s="44"/>
      <c r="B147" s="1" t="s">
        <v>120</v>
      </c>
      <c r="C147" s="37">
        <v>3136</v>
      </c>
      <c r="F147" s="38"/>
      <c r="G147" s="39">
        <f>I147/(100+J147)*100</f>
        <v>0</v>
      </c>
      <c r="H147" s="39">
        <f>I147/(100+J147)*J147</f>
        <v>0</v>
      </c>
      <c r="I147" s="40"/>
      <c r="J147" s="1">
        <v>19</v>
      </c>
    </row>
    <row r="148" spans="1:10" ht="12.75">
      <c r="A148" s="44"/>
      <c r="B148" s="1" t="s">
        <v>120</v>
      </c>
      <c r="C148" s="37">
        <v>3137</v>
      </c>
      <c r="F148" s="38"/>
      <c r="G148" s="39">
        <f>I148/(100+J148)*100</f>
        <v>0</v>
      </c>
      <c r="H148" s="39">
        <f>I148/(100+J148)*J148</f>
        <v>0</v>
      </c>
      <c r="I148" s="40"/>
      <c r="J148" s="1">
        <v>19</v>
      </c>
    </row>
    <row r="149" spans="1:10" ht="12.75">
      <c r="A149" s="44"/>
      <c r="B149" s="1" t="s">
        <v>120</v>
      </c>
      <c r="C149" s="37">
        <v>3138</v>
      </c>
      <c r="F149" s="38"/>
      <c r="G149" s="39">
        <f>I149/(100+J149)*100</f>
        <v>0</v>
      </c>
      <c r="H149" s="39">
        <f>I149/(100+J149)*J149</f>
        <v>0</v>
      </c>
      <c r="I149" s="40"/>
      <c r="J149" s="1">
        <v>19</v>
      </c>
    </row>
    <row r="150" spans="1:10" ht="12.75">
      <c r="A150" s="44"/>
      <c r="B150" s="1" t="s">
        <v>120</v>
      </c>
      <c r="C150" s="37">
        <v>3139</v>
      </c>
      <c r="F150" s="38"/>
      <c r="G150" s="39">
        <f>I150/(100+J150)*100</f>
        <v>0</v>
      </c>
      <c r="H150" s="39">
        <f>I150/(100+J150)*J150</f>
        <v>0</v>
      </c>
      <c r="I150" s="40"/>
      <c r="J150" s="1">
        <v>19</v>
      </c>
    </row>
    <row r="151" spans="1:10" ht="12.75">
      <c r="A151" s="44"/>
      <c r="B151" s="1" t="s">
        <v>120</v>
      </c>
      <c r="C151" s="37">
        <v>3140</v>
      </c>
      <c r="F151" s="38"/>
      <c r="G151" s="39">
        <f>I151/(100+J151)*100</f>
        <v>0</v>
      </c>
      <c r="H151" s="39">
        <f>I151/(100+J151)*J151</f>
        <v>0</v>
      </c>
      <c r="I151" s="40"/>
      <c r="J151" s="1">
        <v>19</v>
      </c>
    </row>
    <row r="152" spans="1:10" ht="12.75">
      <c r="A152" s="44"/>
      <c r="B152" s="1" t="s">
        <v>120</v>
      </c>
      <c r="C152" s="37">
        <v>3141</v>
      </c>
      <c r="F152" s="38"/>
      <c r="G152" s="39">
        <f>I152/(100+J152)*100</f>
        <v>0</v>
      </c>
      <c r="H152" s="39">
        <f>I152/(100+J152)*J152</f>
        <v>0</v>
      </c>
      <c r="I152" s="40"/>
      <c r="J152" s="1">
        <v>19</v>
      </c>
    </row>
    <row r="153" spans="1:10" ht="12.75">
      <c r="A153" s="44"/>
      <c r="B153" s="1" t="s">
        <v>120</v>
      </c>
      <c r="C153" s="37">
        <v>3142</v>
      </c>
      <c r="F153" s="38"/>
      <c r="G153" s="39">
        <f>I153/(100+J153)*100</f>
        <v>0</v>
      </c>
      <c r="H153" s="39">
        <f>I153/(100+J153)*J153</f>
        <v>0</v>
      </c>
      <c r="I153" s="40"/>
      <c r="J153" s="1">
        <v>19</v>
      </c>
    </row>
    <row r="154" spans="1:10" ht="12.75">
      <c r="A154" s="44"/>
      <c r="B154" s="1" t="s">
        <v>120</v>
      </c>
      <c r="C154" s="37">
        <v>3143</v>
      </c>
      <c r="F154" s="38"/>
      <c r="G154" s="39">
        <f>I154/(100+J154)*100</f>
        <v>0</v>
      </c>
      <c r="H154" s="39">
        <f>I154/(100+J154)*J154</f>
        <v>0</v>
      </c>
      <c r="I154" s="40"/>
      <c r="J154" s="1">
        <v>19</v>
      </c>
    </row>
    <row r="155" spans="1:10" ht="12.75">
      <c r="A155" s="44"/>
      <c r="B155" s="1" t="s">
        <v>120</v>
      </c>
      <c r="C155" s="37">
        <v>3144</v>
      </c>
      <c r="F155" s="38"/>
      <c r="G155" s="39">
        <f>I155/(100+J155)*100</f>
        <v>0</v>
      </c>
      <c r="H155" s="39">
        <f>I155/(100+J155)*J155</f>
        <v>0</v>
      </c>
      <c r="I155" s="40"/>
      <c r="J155" s="1">
        <v>19</v>
      </c>
    </row>
    <row r="156" spans="1:10" ht="12.75">
      <c r="A156" s="44"/>
      <c r="B156" s="1" t="s">
        <v>120</v>
      </c>
      <c r="C156" s="37">
        <v>3145</v>
      </c>
      <c r="F156" s="38"/>
      <c r="G156" s="39">
        <f>I156/(100+J156)*100</f>
        <v>0</v>
      </c>
      <c r="H156" s="39">
        <f>I156/(100+J156)*J156</f>
        <v>0</v>
      </c>
      <c r="I156" s="40"/>
      <c r="J156" s="1">
        <v>19</v>
      </c>
    </row>
    <row r="157" spans="1:10" ht="12.75">
      <c r="A157" s="44"/>
      <c r="B157" s="1" t="s">
        <v>120</v>
      </c>
      <c r="C157" s="37">
        <v>3146</v>
      </c>
      <c r="F157" s="38"/>
      <c r="G157" s="39">
        <f>I157/(100+J157)*100</f>
        <v>0</v>
      </c>
      <c r="H157" s="39">
        <f>I157/(100+J157)*J157</f>
        <v>0</v>
      </c>
      <c r="I157" s="40"/>
      <c r="J157" s="1">
        <v>19</v>
      </c>
    </row>
    <row r="158" spans="1:10" ht="12.75">
      <c r="A158" s="44"/>
      <c r="B158" s="1" t="s">
        <v>120</v>
      </c>
      <c r="C158" s="37">
        <v>3147</v>
      </c>
      <c r="F158" s="38"/>
      <c r="G158" s="39">
        <f>I158/(100+J158)*100</f>
        <v>0</v>
      </c>
      <c r="H158" s="39">
        <f>I158/(100+J158)*J158</f>
        <v>0</v>
      </c>
      <c r="I158" s="40"/>
      <c r="J158" s="1">
        <v>19</v>
      </c>
    </row>
    <row r="159" spans="1:10" ht="12.75">
      <c r="A159" s="44"/>
      <c r="B159" s="1" t="s">
        <v>120</v>
      </c>
      <c r="C159" s="37">
        <v>3148</v>
      </c>
      <c r="F159" s="38"/>
      <c r="G159" s="39">
        <f>I159/(100+J159)*100</f>
        <v>0</v>
      </c>
      <c r="H159" s="39">
        <f>I159/(100+J159)*J159</f>
        <v>0</v>
      </c>
      <c r="I159" s="40"/>
      <c r="J159" s="1">
        <v>19</v>
      </c>
    </row>
    <row r="160" spans="1:10" ht="12.75">
      <c r="A160" s="44"/>
      <c r="B160" s="1" t="s">
        <v>120</v>
      </c>
      <c r="C160" s="37">
        <v>3149</v>
      </c>
      <c r="F160" s="38"/>
      <c r="G160" s="39">
        <f>I160/(100+J160)*100</f>
        <v>0</v>
      </c>
      <c r="H160" s="39">
        <f>I160/(100+J160)*J160</f>
        <v>0</v>
      </c>
      <c r="I160" s="40"/>
      <c r="J160" s="1">
        <v>19</v>
      </c>
    </row>
    <row r="161" spans="1:10" ht="12.75">
      <c r="A161" s="44"/>
      <c r="B161" s="1" t="s">
        <v>120</v>
      </c>
      <c r="C161" s="37">
        <v>3150</v>
      </c>
      <c r="F161" s="38"/>
      <c r="G161" s="39">
        <f>I161/(100+J161)*100</f>
        <v>0</v>
      </c>
      <c r="H161" s="39">
        <f>I161/(100+J161)*J161</f>
        <v>0</v>
      </c>
      <c r="I161" s="40"/>
      <c r="J161" s="1">
        <v>19</v>
      </c>
    </row>
    <row r="162" spans="1:10" ht="12.75">
      <c r="A162" s="44"/>
      <c r="B162" s="1" t="s">
        <v>120</v>
      </c>
      <c r="C162" s="37">
        <v>3151</v>
      </c>
      <c r="F162" s="38"/>
      <c r="G162" s="39">
        <f>I162/(100+J162)*100</f>
        <v>0</v>
      </c>
      <c r="H162" s="39">
        <f>I162/(100+J162)*J162</f>
        <v>0</v>
      </c>
      <c r="I162" s="40"/>
      <c r="J162" s="1">
        <v>19</v>
      </c>
    </row>
    <row r="163" spans="1:10" ht="12.75">
      <c r="A163" s="44"/>
      <c r="B163" s="1" t="s">
        <v>120</v>
      </c>
      <c r="C163" s="37">
        <v>3152</v>
      </c>
      <c r="F163" s="38"/>
      <c r="G163" s="39">
        <f>I163/(100+J163)*100</f>
        <v>0</v>
      </c>
      <c r="H163" s="39">
        <f>I163/(100+J163)*J163</f>
        <v>0</v>
      </c>
      <c r="I163" s="40"/>
      <c r="J163" s="1">
        <v>19</v>
      </c>
    </row>
    <row r="164" spans="1:10" ht="12.75">
      <c r="A164" s="44"/>
      <c r="B164" s="1" t="s">
        <v>120</v>
      </c>
      <c r="C164" s="37">
        <v>3153</v>
      </c>
      <c r="F164" s="38"/>
      <c r="G164" s="39">
        <f>I164/(100+J164)*100</f>
        <v>0</v>
      </c>
      <c r="H164" s="39">
        <f>I164/(100+J164)*J164</f>
        <v>0</v>
      </c>
      <c r="I164" s="40"/>
      <c r="J164" s="1">
        <v>19</v>
      </c>
    </row>
    <row r="165" spans="1:10" ht="12.75">
      <c r="A165" s="44"/>
      <c r="B165" s="1" t="s">
        <v>120</v>
      </c>
      <c r="C165" s="37">
        <v>3154</v>
      </c>
      <c r="F165" s="38"/>
      <c r="G165" s="39">
        <f>I165/(100+J165)*100</f>
        <v>0</v>
      </c>
      <c r="H165" s="39">
        <f>I165/(100+J165)*J165</f>
        <v>0</v>
      </c>
      <c r="I165" s="40"/>
      <c r="J165" s="1">
        <v>19</v>
      </c>
    </row>
    <row r="166" spans="1:10" ht="12.75">
      <c r="A166" s="44"/>
      <c r="B166" s="1" t="s">
        <v>120</v>
      </c>
      <c r="C166" s="37">
        <v>3155</v>
      </c>
      <c r="F166" s="38"/>
      <c r="G166" s="39">
        <f>I166/(100+J166)*100</f>
        <v>0</v>
      </c>
      <c r="H166" s="39">
        <f>I166/(100+J166)*J166</f>
        <v>0</v>
      </c>
      <c r="I166" s="40"/>
      <c r="J166" s="1">
        <v>19</v>
      </c>
    </row>
    <row r="167" spans="1:10" ht="12.75">
      <c r="A167" s="44"/>
      <c r="B167" s="1" t="s">
        <v>120</v>
      </c>
      <c r="C167" s="37">
        <v>3156</v>
      </c>
      <c r="F167" s="38"/>
      <c r="G167" s="39">
        <f>I167/(100+J167)*100</f>
        <v>0</v>
      </c>
      <c r="H167" s="39">
        <f>I167/(100+J167)*J167</f>
        <v>0</v>
      </c>
      <c r="I167" s="40"/>
      <c r="J167" s="1">
        <v>19</v>
      </c>
    </row>
    <row r="168" spans="1:10" ht="12.75">
      <c r="A168" s="44"/>
      <c r="B168" s="1" t="s">
        <v>120</v>
      </c>
      <c r="C168" s="37">
        <v>3157</v>
      </c>
      <c r="F168" s="38"/>
      <c r="G168" s="39">
        <f>I168/(100+J168)*100</f>
        <v>0</v>
      </c>
      <c r="H168" s="39">
        <f>I168/(100+J168)*J168</f>
        <v>0</v>
      </c>
      <c r="I168" s="40"/>
      <c r="J168" s="1">
        <v>19</v>
      </c>
    </row>
    <row r="169" spans="1:10" ht="12.75">
      <c r="A169" s="44"/>
      <c r="B169" s="1" t="s">
        <v>120</v>
      </c>
      <c r="C169" s="37">
        <v>3158</v>
      </c>
      <c r="F169" s="38"/>
      <c r="G169" s="39">
        <f>I169/(100+J169)*100</f>
        <v>0</v>
      </c>
      <c r="H169" s="39">
        <f>I169/(100+J169)*J169</f>
        <v>0</v>
      </c>
      <c r="I169" s="40"/>
      <c r="J169" s="1">
        <v>19</v>
      </c>
    </row>
    <row r="170" spans="1:10" ht="12.75">
      <c r="A170" s="44"/>
      <c r="B170" s="1" t="s">
        <v>120</v>
      </c>
      <c r="C170" s="37">
        <v>3159</v>
      </c>
      <c r="F170" s="38"/>
      <c r="G170" s="39">
        <f>I170/(100+J170)*100</f>
        <v>0</v>
      </c>
      <c r="H170" s="39">
        <f>I170/(100+J170)*J170</f>
        <v>0</v>
      </c>
      <c r="I170" s="40"/>
      <c r="J170" s="1">
        <v>19</v>
      </c>
    </row>
    <row r="171" spans="1:10" ht="12.75">
      <c r="A171" s="44"/>
      <c r="B171" s="1" t="s">
        <v>120</v>
      </c>
      <c r="C171" s="37">
        <v>3160</v>
      </c>
      <c r="F171" s="38"/>
      <c r="G171" s="39">
        <f>I171/(100+J171)*100</f>
        <v>0</v>
      </c>
      <c r="H171" s="39">
        <f>I171/(100+J171)*J171</f>
        <v>0</v>
      </c>
      <c r="I171" s="40"/>
      <c r="J171" s="1">
        <v>19</v>
      </c>
    </row>
    <row r="172" spans="1:10" ht="12.75">
      <c r="A172" s="44"/>
      <c r="B172" s="1" t="s">
        <v>120</v>
      </c>
      <c r="C172" s="37">
        <v>3161</v>
      </c>
      <c r="F172" s="38"/>
      <c r="G172" s="39">
        <f>I172/(100+J172)*100</f>
        <v>0</v>
      </c>
      <c r="H172" s="39">
        <f>I172/(100+J172)*J172</f>
        <v>0</v>
      </c>
      <c r="I172" s="40"/>
      <c r="J172" s="1">
        <v>19</v>
      </c>
    </row>
    <row r="173" spans="1:10" ht="12.75">
      <c r="A173" s="44"/>
      <c r="B173" s="1" t="s">
        <v>120</v>
      </c>
      <c r="C173" s="37">
        <v>3162</v>
      </c>
      <c r="F173" s="38"/>
      <c r="G173" s="39">
        <f>I173/(100+J173)*100</f>
        <v>0</v>
      </c>
      <c r="H173" s="39">
        <f>I173/(100+J173)*J173</f>
        <v>0</v>
      </c>
      <c r="I173" s="40"/>
      <c r="J173" s="1">
        <v>19</v>
      </c>
    </row>
    <row r="174" spans="1:10" ht="12.75">
      <c r="A174" s="44"/>
      <c r="B174" s="1" t="s">
        <v>120</v>
      </c>
      <c r="C174" s="37">
        <v>3163</v>
      </c>
      <c r="F174" s="38"/>
      <c r="G174" s="39">
        <f>I174/(100+J174)*100</f>
        <v>0</v>
      </c>
      <c r="H174" s="39">
        <f>I174/(100+J174)*J174</f>
        <v>0</v>
      </c>
      <c r="I174" s="40"/>
      <c r="J174" s="1">
        <v>19</v>
      </c>
    </row>
    <row r="175" spans="1:10" ht="12.75">
      <c r="A175" s="44"/>
      <c r="B175" s="1" t="s">
        <v>120</v>
      </c>
      <c r="C175" s="37">
        <v>3164</v>
      </c>
      <c r="F175" s="38"/>
      <c r="G175" s="39">
        <f>I175/(100+J175)*100</f>
        <v>0</v>
      </c>
      <c r="H175" s="39">
        <f>I175/(100+J175)*J175</f>
        <v>0</v>
      </c>
      <c r="I175" s="40"/>
      <c r="J175" s="1">
        <v>19</v>
      </c>
    </row>
    <row r="176" spans="1:10" ht="12.75">
      <c r="A176" s="44"/>
      <c r="B176" s="1" t="s">
        <v>120</v>
      </c>
      <c r="C176" s="37">
        <v>3165</v>
      </c>
      <c r="F176" s="38"/>
      <c r="G176" s="39">
        <f>I176/(100+J176)*100</f>
        <v>0</v>
      </c>
      <c r="H176" s="39">
        <f>I176/(100+J176)*J176</f>
        <v>0</v>
      </c>
      <c r="I176" s="40"/>
      <c r="J176" s="1">
        <v>19</v>
      </c>
    </row>
    <row r="177" spans="1:10" ht="12.75">
      <c r="A177" s="44"/>
      <c r="B177" s="1" t="s">
        <v>120</v>
      </c>
      <c r="C177" s="37">
        <v>3166</v>
      </c>
      <c r="F177" s="38"/>
      <c r="G177" s="39">
        <f>I177/(100+J177)*100</f>
        <v>0</v>
      </c>
      <c r="H177" s="39">
        <f>I177/(100+J177)*J177</f>
        <v>0</v>
      </c>
      <c r="I177" s="40"/>
      <c r="J177" s="1">
        <v>19</v>
      </c>
    </row>
    <row r="178" spans="1:10" ht="12.75">
      <c r="A178" s="44"/>
      <c r="B178" s="1" t="s">
        <v>120</v>
      </c>
      <c r="C178" s="37">
        <v>3167</v>
      </c>
      <c r="F178" s="38"/>
      <c r="G178" s="39">
        <f>I178/(100+J178)*100</f>
        <v>0</v>
      </c>
      <c r="H178" s="39">
        <f>I178/(100+J178)*J178</f>
        <v>0</v>
      </c>
      <c r="I178" s="40"/>
      <c r="J178" s="1">
        <v>19</v>
      </c>
    </row>
    <row r="179" spans="1:10" ht="12.75">
      <c r="A179" s="44"/>
      <c r="B179" s="1" t="s">
        <v>120</v>
      </c>
      <c r="C179" s="37">
        <v>3168</v>
      </c>
      <c r="F179" s="38"/>
      <c r="G179" s="39">
        <f>I179/(100+J179)*100</f>
        <v>0</v>
      </c>
      <c r="H179" s="39">
        <f>I179/(100+J179)*J179</f>
        <v>0</v>
      </c>
      <c r="I179" s="40"/>
      <c r="J179" s="1">
        <v>19</v>
      </c>
    </row>
    <row r="180" spans="1:10" ht="12.75">
      <c r="A180" s="44"/>
      <c r="B180" s="1" t="s">
        <v>120</v>
      </c>
      <c r="C180" s="37">
        <v>3169</v>
      </c>
      <c r="F180" s="38"/>
      <c r="G180" s="39">
        <f>I180/(100+J180)*100</f>
        <v>0</v>
      </c>
      <c r="H180" s="39">
        <f>I180/(100+J180)*J180</f>
        <v>0</v>
      </c>
      <c r="I180" s="40"/>
      <c r="J180" s="1">
        <v>19</v>
      </c>
    </row>
    <row r="181" spans="1:10" ht="12.75">
      <c r="A181" s="44"/>
      <c r="B181" s="1" t="s">
        <v>120</v>
      </c>
      <c r="C181" s="37">
        <v>3170</v>
      </c>
      <c r="F181" s="38"/>
      <c r="G181" s="39">
        <f>I181/(100+J181)*100</f>
        <v>0</v>
      </c>
      <c r="H181" s="39">
        <f>I181/(100+J181)*J181</f>
        <v>0</v>
      </c>
      <c r="I181" s="40"/>
      <c r="J181" s="1">
        <v>19</v>
      </c>
    </row>
    <row r="182" spans="1:10" ht="12.75">
      <c r="A182" s="44"/>
      <c r="B182" s="1" t="s">
        <v>120</v>
      </c>
      <c r="C182" s="37">
        <v>3171</v>
      </c>
      <c r="F182" s="38"/>
      <c r="G182" s="39">
        <f>I182/(100+J182)*100</f>
        <v>0</v>
      </c>
      <c r="H182" s="39">
        <f>I182/(100+J182)*J182</f>
        <v>0</v>
      </c>
      <c r="I182" s="40"/>
      <c r="J182" s="1">
        <v>19</v>
      </c>
    </row>
    <row r="183" spans="1:9" ht="12.75">
      <c r="A183" s="44"/>
      <c r="B183" s="1" t="s">
        <v>120</v>
      </c>
      <c r="C183" s="37">
        <v>3172</v>
      </c>
      <c r="F183" s="38"/>
      <c r="G183" s="39">
        <f>I183/(100+J183)*100</f>
        <v>0</v>
      </c>
      <c r="H183" s="39">
        <f>I183/(100+J183)*J183</f>
        <v>0</v>
      </c>
      <c r="I183" s="40"/>
    </row>
    <row r="184" spans="1:9" ht="12.75">
      <c r="A184" s="44"/>
      <c r="B184" s="1" t="s">
        <v>120</v>
      </c>
      <c r="C184" s="37">
        <v>3173</v>
      </c>
      <c r="F184" s="38"/>
      <c r="G184" s="39">
        <f>I184/(100+J184)*100</f>
        <v>0</v>
      </c>
      <c r="H184" s="39">
        <f>I184/(100+J184)*J184</f>
        <v>0</v>
      </c>
      <c r="I184" s="40"/>
    </row>
    <row r="185" spans="1:9" ht="12.75">
      <c r="A185" s="44"/>
      <c r="B185" s="1" t="s">
        <v>120</v>
      </c>
      <c r="C185" s="37">
        <v>3174</v>
      </c>
      <c r="F185" s="38"/>
      <c r="G185" s="39">
        <f>I185/(100+J185)*100</f>
        <v>0</v>
      </c>
      <c r="H185" s="39">
        <f>I185/(100+J185)*J185</f>
        <v>0</v>
      </c>
      <c r="I185" s="40"/>
    </row>
    <row r="186" spans="1:9" ht="12.75">
      <c r="A186" s="44"/>
      <c r="B186" s="1" t="s">
        <v>120</v>
      </c>
      <c r="C186" s="37">
        <v>3175</v>
      </c>
      <c r="F186" s="38"/>
      <c r="G186" s="39">
        <f>I186/(100+J186)*100</f>
        <v>0</v>
      </c>
      <c r="H186" s="39">
        <f>I186/(100+J186)*J186</f>
        <v>0</v>
      </c>
      <c r="I186" s="40"/>
    </row>
    <row r="187" spans="1:9" ht="12.75">
      <c r="A187" s="44"/>
      <c r="B187" s="1" t="s">
        <v>120</v>
      </c>
      <c r="C187" s="37">
        <v>3176</v>
      </c>
      <c r="F187" s="38"/>
      <c r="G187" s="39">
        <f>I187/(100+J187)*100</f>
        <v>0</v>
      </c>
      <c r="H187" s="39">
        <f>I187/(100+J187)*J187</f>
        <v>0</v>
      </c>
      <c r="I187" s="40"/>
    </row>
    <row r="188" spans="1:9" ht="12.75">
      <c r="A188" s="44"/>
      <c r="B188" s="1" t="s">
        <v>120</v>
      </c>
      <c r="C188" s="37">
        <v>3177</v>
      </c>
      <c r="F188" s="38"/>
      <c r="G188" s="39">
        <f>I188/(100+J188)*100</f>
        <v>0</v>
      </c>
      <c r="H188" s="39">
        <f>I188/(100+J188)*J188</f>
        <v>0</v>
      </c>
      <c r="I188" s="40"/>
    </row>
    <row r="189" spans="1:9" ht="12.75">
      <c r="A189" s="44"/>
      <c r="B189" s="1" t="s">
        <v>120</v>
      </c>
      <c r="C189" s="37">
        <v>3178</v>
      </c>
      <c r="F189" s="38"/>
      <c r="G189" s="39">
        <f>I189/(100+J189)*100</f>
        <v>0</v>
      </c>
      <c r="H189" s="39">
        <f>I189/(100+J189)*J189</f>
        <v>0</v>
      </c>
      <c r="I189" s="40"/>
    </row>
    <row r="190" spans="1:9" ht="12.75">
      <c r="A190" s="44"/>
      <c r="B190" s="1" t="s">
        <v>120</v>
      </c>
      <c r="C190" s="37">
        <v>3179</v>
      </c>
      <c r="F190" s="38"/>
      <c r="G190" s="39">
        <f>I190/(100+J190)*100</f>
        <v>0</v>
      </c>
      <c r="H190" s="39">
        <f>I190/(100+J190)*J190</f>
        <v>0</v>
      </c>
      <c r="I190" s="40"/>
    </row>
    <row r="191" spans="1:9" ht="12.75">
      <c r="A191" s="44"/>
      <c r="B191" s="1" t="s">
        <v>120</v>
      </c>
      <c r="C191" s="37">
        <v>3180</v>
      </c>
      <c r="F191" s="38"/>
      <c r="G191" s="39">
        <f>I191/(100+J191)*100</f>
        <v>0</v>
      </c>
      <c r="H191" s="39">
        <f>I191/(100+J191)*J191</f>
        <v>0</v>
      </c>
      <c r="I191" s="40"/>
    </row>
    <row r="192" spans="1:9" ht="12.75">
      <c r="A192" s="44"/>
      <c r="C192" s="37"/>
      <c r="F192" s="38"/>
      <c r="G192" s="39"/>
      <c r="H192" s="39"/>
      <c r="I192" s="40"/>
    </row>
    <row r="193" spans="1:9" ht="12.75">
      <c r="A193" s="44"/>
      <c r="C193" s="37"/>
      <c r="F193" s="38"/>
      <c r="G193" s="39"/>
      <c r="H193" s="39"/>
      <c r="I193" s="40"/>
    </row>
    <row r="194" spans="1:9" ht="12.75">
      <c r="A194" s="44"/>
      <c r="C194" s="37"/>
      <c r="F194" s="38"/>
      <c r="G194" s="39"/>
      <c r="H194" s="39"/>
      <c r="I194" s="40"/>
    </row>
    <row r="195" spans="1:9" ht="12.75">
      <c r="A195" s="44"/>
      <c r="C195" s="37"/>
      <c r="F195" s="38"/>
      <c r="G195" s="39"/>
      <c r="H195" s="39"/>
      <c r="I195" s="40"/>
    </row>
    <row r="196" spans="1:9" ht="12.75">
      <c r="A196" s="44"/>
      <c r="C196" s="37"/>
      <c r="F196" s="38"/>
      <c r="G196" s="39"/>
      <c r="H196" s="39"/>
      <c r="I196" s="40"/>
    </row>
    <row r="197" spans="1:9" ht="12.75">
      <c r="A197" s="44"/>
      <c r="C197" s="37"/>
      <c r="F197" s="38"/>
      <c r="G197" s="39"/>
      <c r="H197" s="39"/>
      <c r="I197" s="40"/>
    </row>
    <row r="198" spans="1:9" ht="12.75">
      <c r="A198" s="44"/>
      <c r="C198" s="37"/>
      <c r="F198" s="38"/>
      <c r="G198" s="39"/>
      <c r="H198" s="39"/>
      <c r="I198" s="40"/>
    </row>
    <row r="199" spans="1:9" ht="12.75">
      <c r="A199" s="44"/>
      <c r="C199" s="37"/>
      <c r="F199" s="38"/>
      <c r="G199" s="39"/>
      <c r="H199" s="39"/>
      <c r="I199" s="40"/>
    </row>
    <row r="200" spans="1:9" ht="12.75">
      <c r="A200" s="44"/>
      <c r="C200" s="37"/>
      <c r="F200" s="38"/>
      <c r="G200" s="39"/>
      <c r="H200" s="39"/>
      <c r="I200" s="40"/>
    </row>
    <row r="201" spans="1:9" ht="12.75">
      <c r="A201" s="44"/>
      <c r="C201" s="37"/>
      <c r="F201" s="38"/>
      <c r="G201" s="39"/>
      <c r="H201" s="39"/>
      <c r="I201" s="40"/>
    </row>
    <row r="202" spans="1:9" ht="12.75">
      <c r="A202" s="63"/>
      <c r="B202" s="64"/>
      <c r="C202" s="65"/>
      <c r="D202" s="64"/>
      <c r="E202" s="64"/>
      <c r="F202" s="63"/>
      <c r="G202" s="66"/>
      <c r="H202" s="66"/>
      <c r="I202" s="67"/>
    </row>
    <row r="203" spans="1:11" ht="12.75">
      <c r="A203" s="58" t="s">
        <v>106</v>
      </c>
      <c r="B203" s="48" t="s">
        <v>120</v>
      </c>
      <c r="C203" s="49"/>
      <c r="D203" s="48"/>
      <c r="E203" s="48"/>
      <c r="F203" s="48"/>
      <c r="G203" s="51">
        <f>SUM(G2:G201)</f>
        <v>0</v>
      </c>
      <c r="H203" s="51">
        <f>SUM(H2:H201)</f>
        <v>0</v>
      </c>
      <c r="I203" s="51">
        <f>SUM(I2:I201)</f>
        <v>0</v>
      </c>
      <c r="J203" s="48"/>
      <c r="K203" s="52"/>
    </row>
    <row r="204" spans="1:9" ht="12.75">
      <c r="A204" s="63"/>
      <c r="B204" s="64"/>
      <c r="C204" s="65"/>
      <c r="D204" s="64"/>
      <c r="E204" s="64"/>
      <c r="F204" s="63"/>
      <c r="G204" s="64"/>
      <c r="H204" s="64"/>
      <c r="I204" s="63"/>
    </row>
    <row r="206" ht="12.75">
      <c r="A206" s="59" t="s">
        <v>122</v>
      </c>
    </row>
    <row r="208" spans="1:6" ht="12.75">
      <c r="A208" s="60"/>
      <c r="B208" s="60"/>
      <c r="C208" s="60"/>
      <c r="D208" s="60"/>
      <c r="E208" s="60"/>
      <c r="F208" s="60"/>
    </row>
    <row r="209" spans="1:6" ht="12.75">
      <c r="A209" s="102" t="s">
        <v>534</v>
      </c>
      <c r="B209" s="60"/>
      <c r="C209" s="60"/>
      <c r="D209" s="60"/>
      <c r="E209" s="60"/>
      <c r="F209" s="60"/>
    </row>
    <row r="210" spans="1:6" ht="12.75">
      <c r="A210" s="102" t="s">
        <v>535</v>
      </c>
      <c r="B210" s="60"/>
      <c r="C210" s="60"/>
      <c r="D210" s="60"/>
      <c r="E210" s="60"/>
      <c r="F210" s="60"/>
    </row>
    <row r="211" spans="1:6" ht="12.75">
      <c r="A211" s="102" t="s">
        <v>536</v>
      </c>
      <c r="B211" s="60"/>
      <c r="C211" s="60"/>
      <c r="D211" s="60"/>
      <c r="E211" s="60"/>
      <c r="F211" s="60"/>
    </row>
    <row r="212" spans="1:5" ht="12.75">
      <c r="A212" s="60"/>
      <c r="B212" s="60"/>
      <c r="C212" s="60"/>
      <c r="D212" s="60"/>
      <c r="E212" s="60"/>
    </row>
    <row r="213" spans="1:5" ht="12.75">
      <c r="A213" s="60"/>
      <c r="B213" s="60"/>
      <c r="C213" s="60"/>
      <c r="D213" s="60"/>
      <c r="E213" s="60"/>
    </row>
  </sheetData>
  <sheetProtection selectLockedCells="1" selectUnlockedCells="1"/>
  <printOptions gridLines="1"/>
  <pageMargins left="0.7479166666666667" right="0.7479166666666667" top="0.9840277777777777" bottom="0.9854166666666667" header="0.5118055555555555" footer="0"/>
  <pageSetup horizontalDpi="300" verticalDpi="300" orientation="landscape" paperSize="9" scale="80"/>
  <headerFooter alignWithMargins="0">
    <oddFooter>&amp;C&amp;10Seite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77734375" defaultRowHeight="15"/>
  <cols>
    <col min="1" max="16384" width="9.6640625" style="1" customWidth="1"/>
  </cols>
  <sheetData/>
  <sheetProtection selectLockedCells="1" selectUnlockedCells="1"/>
  <printOptions gridLines="1"/>
  <pageMargins left="0.7479166666666667" right="0.7479166666666667" top="0.9840277777777777" bottom="0.9840277777777777" header="0.5118055555555555" footer="0"/>
  <pageSetup horizontalDpi="300" verticalDpi="300" orientation="landscape" paperSize="9"/>
  <headerFooter alignWithMargins="0">
    <oddFooter>&amp;C&amp;10Seite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77734375" defaultRowHeight="15"/>
  <cols>
    <col min="1" max="16384" width="9.6640625" style="1" customWidth="1"/>
  </cols>
  <sheetData/>
  <sheetProtection selectLockedCells="1" selectUnlockedCells="1"/>
  <printOptions gridLines="1"/>
  <pageMargins left="0.7479166666666667" right="0.7479166666666667" top="0.9840277777777777" bottom="0.9840277777777777" header="0.5118055555555555" footer="0"/>
  <pageSetup horizontalDpi="300" verticalDpi="300" orientation="landscape" paperSize="9"/>
  <headerFooter alignWithMargins="0">
    <oddFooter>&amp;C&amp;10Seite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77734375" defaultRowHeight="15"/>
  <cols>
    <col min="1" max="16384" width="9.6640625" style="1" customWidth="1"/>
  </cols>
  <sheetData/>
  <sheetProtection selectLockedCells="1" selectUnlockedCells="1"/>
  <printOptions gridLines="1"/>
  <pageMargins left="0.7479166666666667" right="0.7479166666666667" top="0.9840277777777777" bottom="0.9840277777777777" header="0.5118055555555555" footer="0"/>
  <pageSetup horizontalDpi="300" verticalDpi="300" orientation="landscape" paperSize="9"/>
  <headerFooter alignWithMargins="0">
    <oddFooter>&amp;C&amp;10Seite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77734375" defaultRowHeight="15"/>
  <cols>
    <col min="1" max="16384" width="9.6640625" style="1" customWidth="1"/>
  </cols>
  <sheetData/>
  <sheetProtection selectLockedCells="1" selectUnlockedCells="1"/>
  <printOptions gridLines="1"/>
  <pageMargins left="0.7479166666666667" right="0.7479166666666667" top="0.9840277777777777" bottom="0.9840277777777777" header="0.5118055555555555" footer="0"/>
  <pageSetup horizontalDpi="300" verticalDpi="300" orientation="landscape" paperSize="9"/>
  <headerFooter alignWithMargins="0">
    <oddFooter>&amp;C&amp;10Seite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">
      <selection activeCell="I33" sqref="I33"/>
    </sheetView>
  </sheetViews>
  <sheetFormatPr defaultColWidth="9.77734375" defaultRowHeight="15"/>
  <cols>
    <col min="1" max="16384" width="9.6640625" style="1" customWidth="1"/>
  </cols>
  <sheetData>
    <row r="1" ht="12.75">
      <c r="A1" s="2" t="s">
        <v>46</v>
      </c>
    </row>
    <row r="2" ht="12.75">
      <c r="A2" s="1" t="s">
        <v>47</v>
      </c>
    </row>
    <row r="10" ht="12.75">
      <c r="A10" s="17" t="s">
        <v>32</v>
      </c>
    </row>
    <row r="11" ht="12.75">
      <c r="A11" s="17" t="s">
        <v>33</v>
      </c>
    </row>
    <row r="12" ht="12.75">
      <c r="A12" s="1" t="s">
        <v>34</v>
      </c>
    </row>
    <row r="13" ht="12.75">
      <c r="A13" s="1" t="s">
        <v>35</v>
      </c>
    </row>
    <row r="14" ht="12.75">
      <c r="A14" s="1" t="s">
        <v>48</v>
      </c>
    </row>
    <row r="15" ht="12.75">
      <c r="A15" s="17" t="s">
        <v>37</v>
      </c>
    </row>
    <row r="17" ht="12.75">
      <c r="A17" s="17" t="s">
        <v>38</v>
      </c>
    </row>
    <row r="18" ht="12.75">
      <c r="A18" s="1" t="s">
        <v>39</v>
      </c>
    </row>
    <row r="19" ht="12.75">
      <c r="A19" s="1" t="s">
        <v>40</v>
      </c>
    </row>
    <row r="20" ht="12.75">
      <c r="A20" s="1" t="s">
        <v>49</v>
      </c>
    </row>
    <row r="21" ht="12.75">
      <c r="A21" s="17" t="s">
        <v>42</v>
      </c>
    </row>
    <row r="23" spans="1:4" ht="12.75">
      <c r="A23"/>
      <c r="B23" s="18" t="s">
        <v>43</v>
      </c>
      <c r="C23" s="18"/>
      <c r="D23" s="18"/>
    </row>
    <row r="24" spans="1:4" ht="12.75">
      <c r="A24"/>
      <c r="B24" s="19" t="s">
        <v>44</v>
      </c>
      <c r="C24" s="19"/>
      <c r="D24" s="19"/>
    </row>
    <row r="25" spans="1:4" ht="12.75">
      <c r="A25"/>
      <c r="B25" s="20">
        <v>4917621008967</v>
      </c>
      <c r="C25" s="20"/>
      <c r="D25" s="20"/>
    </row>
    <row r="27" ht="12.75">
      <c r="B27" s="21" t="s">
        <v>45</v>
      </c>
    </row>
    <row r="34" ht="12.75">
      <c r="A34" s="2" t="s">
        <v>50</v>
      </c>
    </row>
    <row r="35" ht="12.75">
      <c r="A35" s="2" t="s">
        <v>51</v>
      </c>
    </row>
    <row r="37" spans="1:4" ht="12.75">
      <c r="A37" s="22" t="s">
        <v>52</v>
      </c>
      <c r="B37" s="23" t="s">
        <v>44</v>
      </c>
      <c r="C37" s="24"/>
      <c r="D37" s="24"/>
    </row>
    <row r="40" ht="12.75">
      <c r="A40" s="17" t="s">
        <v>53</v>
      </c>
    </row>
    <row r="42" spans="1:6" ht="12.75">
      <c r="A42" s="25" t="s">
        <v>54</v>
      </c>
      <c r="B42" s="25"/>
      <c r="C42" s="25" t="s">
        <v>55</v>
      </c>
      <c r="D42" s="26"/>
      <c r="E42" s="26"/>
      <c r="F42" s="26"/>
    </row>
    <row r="43" spans="1:3" ht="12.75">
      <c r="A43" s="17"/>
      <c r="B43" s="17"/>
      <c r="C43" s="17"/>
    </row>
    <row r="44" spans="1:6" ht="12.75">
      <c r="A44" s="27" t="s">
        <v>56</v>
      </c>
      <c r="B44" s="27"/>
      <c r="C44" s="27" t="s">
        <v>57</v>
      </c>
      <c r="D44" s="27"/>
      <c r="E44" s="27"/>
      <c r="F44" s="27"/>
    </row>
    <row r="46" spans="1:6" ht="12.75">
      <c r="A46" s="28" t="s">
        <v>58</v>
      </c>
      <c r="B46" s="29"/>
      <c r="C46" s="28" t="s">
        <v>57</v>
      </c>
      <c r="D46" s="29"/>
      <c r="E46" s="29"/>
      <c r="F46" s="29"/>
    </row>
    <row r="49" ht="12.75">
      <c r="A49" s="17" t="s">
        <v>59</v>
      </c>
    </row>
    <row r="50" ht="12.75">
      <c r="A50" s="17"/>
    </row>
    <row r="51" ht="12.75">
      <c r="A51" s="17" t="s">
        <v>60</v>
      </c>
    </row>
    <row r="52" ht="12.75">
      <c r="A52" s="17"/>
    </row>
    <row r="53" spans="1:6" ht="12.75">
      <c r="A53" s="25" t="s">
        <v>54</v>
      </c>
      <c r="B53" s="26"/>
      <c r="C53" s="25" t="s">
        <v>61</v>
      </c>
      <c r="D53" s="26"/>
      <c r="E53" s="26"/>
      <c r="F53" s="26"/>
    </row>
    <row r="54" ht="12.75">
      <c r="A54" s="17"/>
    </row>
    <row r="55" spans="1:6" ht="12.75">
      <c r="A55" s="27" t="s">
        <v>62</v>
      </c>
      <c r="B55" s="27"/>
      <c r="C55" s="27" t="s">
        <v>63</v>
      </c>
      <c r="D55" s="27"/>
      <c r="E55" s="27"/>
      <c r="F55" s="27"/>
    </row>
    <row r="56" ht="12.75">
      <c r="A56" s="17"/>
    </row>
    <row r="57" spans="1:6" ht="12.75">
      <c r="A57" s="28" t="s">
        <v>58</v>
      </c>
      <c r="B57" s="29"/>
      <c r="C57" s="28" t="s">
        <v>64</v>
      </c>
      <c r="D57" s="29"/>
      <c r="E57" s="29"/>
      <c r="F57" s="29"/>
    </row>
    <row r="58" spans="1:3" ht="12.75">
      <c r="A58" s="17"/>
      <c r="C58" s="17"/>
    </row>
    <row r="59" spans="1:3" ht="12.75">
      <c r="A59" s="17"/>
      <c r="C59" s="17"/>
    </row>
    <row r="60" spans="1:3" ht="12.75">
      <c r="A60" s="17"/>
      <c r="C60" s="17"/>
    </row>
    <row r="61" spans="1:3" ht="12.75">
      <c r="A61" s="17"/>
      <c r="C61" s="17"/>
    </row>
    <row r="63" spans="1:6" ht="12.75">
      <c r="A63" s="17" t="s">
        <v>65</v>
      </c>
      <c r="B63" s="17"/>
      <c r="C63" s="17"/>
      <c r="D63" s="17"/>
      <c r="E63" s="17"/>
      <c r="F63" s="17"/>
    </row>
    <row r="64" spans="1:6" ht="12.75">
      <c r="A64" s="17" t="s">
        <v>66</v>
      </c>
      <c r="B64" s="17"/>
      <c r="C64" s="17"/>
      <c r="D64" s="17"/>
      <c r="E64" s="17"/>
      <c r="F64" s="17"/>
    </row>
    <row r="65" spans="1:6" ht="12.75">
      <c r="A65" s="17" t="s">
        <v>67</v>
      </c>
      <c r="B65" s="17"/>
      <c r="C65" s="17"/>
      <c r="D65" s="17"/>
      <c r="E65" s="17"/>
      <c r="F65" s="17"/>
    </row>
    <row r="66" spans="1:6" ht="12.75">
      <c r="A66" s="17" t="s">
        <v>67</v>
      </c>
      <c r="B66" s="17"/>
      <c r="C66" s="17"/>
      <c r="D66" s="17"/>
      <c r="E66" s="17"/>
      <c r="F66" s="17"/>
    </row>
    <row r="67" spans="1:6" ht="12.75">
      <c r="A67" s="17" t="s">
        <v>68</v>
      </c>
      <c r="B67" s="17"/>
      <c r="C67" s="17"/>
      <c r="D67" s="17"/>
      <c r="E67" s="17"/>
      <c r="F67" s="17"/>
    </row>
    <row r="68" spans="1:6" ht="12.75">
      <c r="A68" s="17" t="s">
        <v>67</v>
      </c>
      <c r="B68" s="17"/>
      <c r="C68" s="17"/>
      <c r="D68" s="17"/>
      <c r="E68" s="17"/>
      <c r="F68" s="17"/>
    </row>
    <row r="69" spans="1:6" ht="12.75">
      <c r="A69" s="17" t="s">
        <v>43</v>
      </c>
      <c r="B69" s="17"/>
      <c r="C69" s="17"/>
      <c r="D69" s="17"/>
      <c r="E69" s="17"/>
      <c r="F69" s="17"/>
    </row>
    <row r="70" spans="1:6" ht="12.75">
      <c r="A70" s="17" t="s">
        <v>69</v>
      </c>
      <c r="B70" s="17"/>
      <c r="C70" s="17"/>
      <c r="D70" s="17"/>
      <c r="E70" s="17"/>
      <c r="F70" s="17"/>
    </row>
    <row r="71" spans="1:6" ht="12.75">
      <c r="A71" s="17" t="s">
        <v>67</v>
      </c>
      <c r="B71" s="17"/>
      <c r="C71" s="17"/>
      <c r="D71" s="17"/>
      <c r="E71" s="17"/>
      <c r="F71" s="17"/>
    </row>
    <row r="72" spans="1:6" ht="12.75">
      <c r="A72" s="17" t="s">
        <v>70</v>
      </c>
      <c r="B72" s="17"/>
      <c r="C72" s="17"/>
      <c r="D72" s="17"/>
      <c r="E72" s="17"/>
      <c r="F72" s="17"/>
    </row>
    <row r="73" spans="1:6" ht="12.75">
      <c r="A73" s="17" t="s">
        <v>71</v>
      </c>
      <c r="B73" s="17"/>
      <c r="C73" s="17"/>
      <c r="D73" s="17"/>
      <c r="E73" s="17"/>
      <c r="F73" s="17"/>
    </row>
    <row r="74" spans="1:6" ht="12.75">
      <c r="A74" s="17" t="s">
        <v>72</v>
      </c>
      <c r="B74" s="17"/>
      <c r="C74" s="17"/>
      <c r="D74" s="17"/>
      <c r="E74" s="17"/>
      <c r="F74" s="17"/>
    </row>
    <row r="75" spans="1:6" ht="12.75">
      <c r="A75" s="17" t="s">
        <v>43</v>
      </c>
      <c r="B75" s="17"/>
      <c r="C75" s="17"/>
      <c r="D75" s="17"/>
      <c r="E75" s="17"/>
      <c r="F75" s="17"/>
    </row>
    <row r="76" spans="1:6" ht="12.75">
      <c r="A76" s="17" t="s">
        <v>73</v>
      </c>
      <c r="B76" s="17"/>
      <c r="C76" s="17"/>
      <c r="D76" s="17"/>
      <c r="E76" s="17"/>
      <c r="F76" s="17"/>
    </row>
    <row r="77" spans="1:6" ht="12.75">
      <c r="A77" s="17" t="s">
        <v>74</v>
      </c>
      <c r="B77" s="17"/>
      <c r="C77" s="17"/>
      <c r="D77" s="17"/>
      <c r="E77" s="17"/>
      <c r="F77" s="17"/>
    </row>
    <row r="78" spans="1:6" ht="12.75">
      <c r="A78" s="17" t="s">
        <v>72</v>
      </c>
      <c r="B78" s="17"/>
      <c r="C78" s="17"/>
      <c r="D78" s="17"/>
      <c r="E78" s="17"/>
      <c r="F78" s="17"/>
    </row>
    <row r="79" spans="1:6" ht="12.75">
      <c r="A79" s="17" t="s">
        <v>43</v>
      </c>
      <c r="B79" s="17"/>
      <c r="C79" s="17"/>
      <c r="D79" s="17"/>
      <c r="E79" s="17"/>
      <c r="F79" s="17"/>
    </row>
    <row r="80" spans="1:6" ht="12.75">
      <c r="A80" s="17" t="s">
        <v>75</v>
      </c>
      <c r="B80" s="17"/>
      <c r="C80" s="17"/>
      <c r="D80" s="17"/>
      <c r="E80" s="17"/>
      <c r="F80" s="17"/>
    </row>
    <row r="81" spans="1:6" ht="12.75">
      <c r="A81" s="17" t="s">
        <v>76</v>
      </c>
      <c r="B81" s="17"/>
      <c r="C81" s="17"/>
      <c r="D81" s="17"/>
      <c r="E81" s="17"/>
      <c r="F81" s="17"/>
    </row>
    <row r="82" spans="1:6" ht="12.75">
      <c r="A82" s="17" t="s">
        <v>77</v>
      </c>
      <c r="B82" s="17"/>
      <c r="C82" s="17"/>
      <c r="D82" s="17"/>
      <c r="E82" s="17"/>
      <c r="F82" s="17"/>
    </row>
    <row r="83" spans="1:6" ht="12.75">
      <c r="A83" s="17" t="s">
        <v>78</v>
      </c>
      <c r="B83" s="17"/>
      <c r="C83" s="17"/>
      <c r="D83" s="17"/>
      <c r="E83" s="17"/>
      <c r="F83" s="17"/>
    </row>
    <row r="84" spans="1:6" ht="12.75">
      <c r="A84" s="17" t="s">
        <v>67</v>
      </c>
      <c r="B84" s="17"/>
      <c r="C84" s="17"/>
      <c r="D84" s="17"/>
      <c r="E84" s="17"/>
      <c r="F84" s="17"/>
    </row>
    <row r="85" spans="1:6" ht="12.75">
      <c r="A85" s="17" t="s">
        <v>79</v>
      </c>
      <c r="B85" s="17"/>
      <c r="C85" s="17"/>
      <c r="D85" s="17"/>
      <c r="E85" s="17"/>
      <c r="F85" s="17"/>
    </row>
    <row r="86" spans="1:6" ht="12.75">
      <c r="A86" s="21" t="s">
        <v>80</v>
      </c>
      <c r="B86" s="17"/>
      <c r="C86" s="17"/>
      <c r="D86" s="17"/>
      <c r="E86" s="17"/>
      <c r="F86" s="17"/>
    </row>
    <row r="87" spans="1:6" ht="12.75">
      <c r="A87" s="21" t="s">
        <v>81</v>
      </c>
      <c r="B87" s="17"/>
      <c r="C87" s="17"/>
      <c r="D87" s="17"/>
      <c r="E87" s="17"/>
      <c r="F87" s="17"/>
    </row>
    <row r="88" spans="1:6" ht="12.75">
      <c r="A88" s="17" t="s">
        <v>67</v>
      </c>
      <c r="B88" s="17"/>
      <c r="C88" s="17"/>
      <c r="D88" s="17"/>
      <c r="E88" s="17"/>
      <c r="F88" s="17"/>
    </row>
    <row r="89" spans="1:6" ht="12.75">
      <c r="A89" s="17" t="s">
        <v>82</v>
      </c>
      <c r="B89" s="17"/>
      <c r="C89" s="17"/>
      <c r="D89" s="17"/>
      <c r="E89" s="17"/>
      <c r="F89" s="17"/>
    </row>
    <row r="90" spans="1:6" ht="12.75">
      <c r="A90" s="21" t="s">
        <v>83</v>
      </c>
      <c r="B90" s="17"/>
      <c r="C90" s="17"/>
      <c r="D90" s="17"/>
      <c r="E90" s="17"/>
      <c r="F90" s="17"/>
    </row>
    <row r="91" spans="1:6" ht="12.75">
      <c r="A91" s="17" t="s">
        <v>67</v>
      </c>
      <c r="B91" s="17"/>
      <c r="C91" s="17"/>
      <c r="D91" s="17"/>
      <c r="E91" s="17"/>
      <c r="F91" s="17"/>
    </row>
    <row r="92" spans="1:6" ht="12.75">
      <c r="A92" s="21" t="s">
        <v>84</v>
      </c>
      <c r="B92" s="17"/>
      <c r="C92" s="17"/>
      <c r="D92" s="17"/>
      <c r="E92" s="17"/>
      <c r="F92" s="17"/>
    </row>
    <row r="93" spans="1:6" ht="12.75">
      <c r="A93" s="21" t="s">
        <v>85</v>
      </c>
      <c r="B93" s="17"/>
      <c r="C93" s="17"/>
      <c r="D93" s="17"/>
      <c r="E93" s="17"/>
      <c r="F93" s="17"/>
    </row>
    <row r="94" spans="1:6" ht="12.75">
      <c r="A94" s="21" t="s">
        <v>86</v>
      </c>
      <c r="B94" s="17"/>
      <c r="C94" s="17"/>
      <c r="D94" s="17"/>
      <c r="E94" s="17"/>
      <c r="F94" s="17"/>
    </row>
    <row r="95" spans="1:6" ht="12.75">
      <c r="A95" s="17" t="s">
        <v>67</v>
      </c>
      <c r="B95" s="17"/>
      <c r="C95" s="17"/>
      <c r="D95" s="17"/>
      <c r="E95" s="17"/>
      <c r="F95" s="17"/>
    </row>
    <row r="96" spans="1:6" ht="12.75">
      <c r="A96" s="17" t="s">
        <v>67</v>
      </c>
      <c r="B96" s="17"/>
      <c r="C96" s="17"/>
      <c r="D96" s="17"/>
      <c r="E96" s="17"/>
      <c r="F96" s="17"/>
    </row>
  </sheetData>
  <sheetProtection selectLockedCells="1" selectUnlockedCells="1"/>
  <mergeCells count="3">
    <mergeCell ref="B23:D23"/>
    <mergeCell ref="B24:D24"/>
    <mergeCell ref="B25:D25"/>
  </mergeCells>
  <hyperlinks>
    <hyperlink ref="B24" r:id="rId1" display="office@arminfischer.com"/>
    <hyperlink ref="B27" r:id="rId2" display="http://Computerservice.arminfischer.com"/>
    <hyperlink ref="B37" r:id="rId3" display="office@arminfischer.com"/>
    <hyperlink ref="A51" r:id="rId4" display="office@arminfischer.com"/>
    <hyperlink ref="A86" r:id="rId5" display="http://kalender.arminfischer.com"/>
    <hyperlink ref="A87" r:id="rId6" display="http://calendly.com/arminfischercom/30min/"/>
    <hyperlink ref="A90" r:id="rId7" display="http://Computerservice.arminfischer.com/chatus/"/>
    <hyperlink ref="A92" r:id="rId8" display="http://news.computerservice.arminfischer.com"/>
    <hyperlink ref="A93" r:id="rId9" display="http://Computerservice.arminfischer.com"/>
    <hyperlink ref="A94" r:id="rId10" display="http://linktr.ee/Computerservicearminfischercom/"/>
  </hyperlinks>
  <printOptions gridLines="1"/>
  <pageMargins left="0.7479166666666667" right="0.7479166666666667" top="0.9840277777777777" bottom="0.9840277777777777" header="0.5118055555555555" footer="0"/>
  <pageSetup horizontalDpi="300" verticalDpi="300" orientation="landscape" paperSize="9"/>
  <headerFooter alignWithMargins="0">
    <oddFooter>&amp;C&amp;10Seite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34"/>
  <sheetViews>
    <sheetView workbookViewId="0" topLeftCell="A1">
      <selection activeCell="A102" sqref="A102"/>
    </sheetView>
  </sheetViews>
  <sheetFormatPr defaultColWidth="9.77734375" defaultRowHeight="15"/>
  <cols>
    <col min="1" max="1" width="10.6640625" style="1" customWidth="1"/>
    <col min="2" max="2" width="8.5546875" style="1" customWidth="1"/>
    <col min="3" max="3" width="6.6640625" style="1" customWidth="1"/>
    <col min="4" max="4" width="7.6640625" style="1" customWidth="1"/>
    <col min="5" max="5" width="13.77734375" style="1" customWidth="1"/>
    <col min="6" max="6" width="6.6640625" style="1" customWidth="1"/>
    <col min="7" max="7" width="50.4453125" style="1" customWidth="1"/>
    <col min="8" max="8" width="11.6640625" style="1" customWidth="1"/>
    <col min="9" max="9" width="11.88671875" style="1" customWidth="1"/>
    <col min="10" max="10" width="10.6640625" style="1" customWidth="1"/>
    <col min="11" max="11" width="6.6640625" style="1" customWidth="1"/>
    <col min="12" max="16384" width="9.6640625" style="1" customWidth="1"/>
  </cols>
  <sheetData>
    <row r="1" s="30" customFormat="1" ht="12.75">
      <c r="B1" s="31" t="s">
        <v>87</v>
      </c>
    </row>
    <row r="2" spans="2:6" s="30" customFormat="1" ht="12.75">
      <c r="B2" s="32" t="s">
        <v>88</v>
      </c>
      <c r="F2" s="30">
        <v>2024</v>
      </c>
    </row>
    <row r="3" s="30" customFormat="1" ht="12.75"/>
    <row r="4" s="30" customFormat="1" ht="12.75"/>
    <row r="5" s="30" customFormat="1" ht="12.75"/>
    <row r="6" s="30" customFormat="1" ht="12.75"/>
    <row r="7" s="30" customFormat="1" ht="12.75">
      <c r="B7" s="33" t="s">
        <v>89</v>
      </c>
    </row>
    <row r="8" s="30" customFormat="1" ht="12.75"/>
    <row r="9" spans="1:14" s="34" customFormat="1" ht="12.75">
      <c r="A9" s="34" t="s">
        <v>90</v>
      </c>
      <c r="B9" s="34" t="s">
        <v>91</v>
      </c>
      <c r="C9" s="34" t="s">
        <v>92</v>
      </c>
      <c r="D9" s="34" t="s">
        <v>93</v>
      </c>
      <c r="E9" s="35" t="s">
        <v>94</v>
      </c>
      <c r="F9" s="35" t="s">
        <v>95</v>
      </c>
      <c r="G9" s="34" t="s">
        <v>96</v>
      </c>
      <c r="H9" s="35" t="s">
        <v>97</v>
      </c>
      <c r="I9" s="35" t="s">
        <v>98</v>
      </c>
      <c r="J9" s="35" t="s">
        <v>99</v>
      </c>
      <c r="K9" s="34" t="s">
        <v>100</v>
      </c>
      <c r="L9" s="34" t="s">
        <v>101</v>
      </c>
      <c r="N9" s="34" t="s">
        <v>102</v>
      </c>
    </row>
    <row r="10" spans="1:13" ht="12.75">
      <c r="A10" s="36"/>
      <c r="C10" s="37"/>
      <c r="D10" s="37"/>
      <c r="G10" s="38"/>
      <c r="H10" s="39"/>
      <c r="I10" s="39"/>
      <c r="J10" s="40"/>
      <c r="M10" s="38"/>
    </row>
    <row r="11" spans="1:13" ht="12.75">
      <c r="A11" s="36" t="s">
        <v>103</v>
      </c>
      <c r="C11" s="37"/>
      <c r="D11" s="37"/>
      <c r="G11" s="38"/>
      <c r="H11" s="39"/>
      <c r="I11" s="39"/>
      <c r="J11" s="40"/>
      <c r="M11" s="38"/>
    </row>
    <row r="12" spans="1:13" ht="12.75">
      <c r="A12" s="36"/>
      <c r="C12" s="37"/>
      <c r="D12" s="37"/>
      <c r="G12" s="38"/>
      <c r="H12" s="39"/>
      <c r="I12" s="39"/>
      <c r="J12" s="40"/>
      <c r="M12" s="38"/>
    </row>
    <row r="13" spans="1:13" ht="12.75">
      <c r="A13" s="41"/>
      <c r="B13" s="1" t="s">
        <v>104</v>
      </c>
      <c r="C13" s="42">
        <v>1</v>
      </c>
      <c r="D13" s="42"/>
      <c r="F13" s="43"/>
      <c r="G13" s="38"/>
      <c r="H13" s="39">
        <f>J13/(100+K13)*100</f>
        <v>0</v>
      </c>
      <c r="I13" s="39">
        <f>J13/(100+K13)*K13</f>
        <v>0</v>
      </c>
      <c r="J13" s="40"/>
      <c r="K13" s="1">
        <v>19</v>
      </c>
      <c r="M13" s="38"/>
    </row>
    <row r="14" spans="1:13" ht="12.75">
      <c r="A14" s="41"/>
      <c r="B14" s="1" t="s">
        <v>104</v>
      </c>
      <c r="C14" s="42">
        <v>2</v>
      </c>
      <c r="D14" s="42"/>
      <c r="F14" s="43"/>
      <c r="G14" s="38"/>
      <c r="H14" s="39">
        <f>J14/(100+K14)*100</f>
        <v>0</v>
      </c>
      <c r="I14" s="39">
        <f>J14/(100+K14)*K14</f>
        <v>0</v>
      </c>
      <c r="J14" s="40"/>
      <c r="K14" s="1">
        <v>19</v>
      </c>
      <c r="M14" s="38"/>
    </row>
    <row r="15" spans="1:13" ht="12.75">
      <c r="A15" s="44"/>
      <c r="B15" s="1" t="s">
        <v>105</v>
      </c>
      <c r="C15" s="42">
        <v>3</v>
      </c>
      <c r="D15" s="42"/>
      <c r="F15" s="43"/>
      <c r="G15" s="38"/>
      <c r="H15" s="39">
        <f>J15/(100+K15)*100</f>
        <v>0</v>
      </c>
      <c r="I15" s="39">
        <f>J15/(100+K15)*K15</f>
        <v>0</v>
      </c>
      <c r="J15" s="40"/>
      <c r="K15" s="1">
        <v>19</v>
      </c>
      <c r="M15" s="38"/>
    </row>
    <row r="16" spans="1:13" ht="12.75">
      <c r="A16" s="44"/>
      <c r="B16" s="1" t="s">
        <v>105</v>
      </c>
      <c r="C16" s="42">
        <v>4</v>
      </c>
      <c r="D16" s="42"/>
      <c r="F16" s="43"/>
      <c r="G16" s="38"/>
      <c r="H16" s="39">
        <f>J16/(100+K16)*100</f>
        <v>0</v>
      </c>
      <c r="I16" s="39">
        <f>J16/(100+K16)*K16</f>
        <v>0</v>
      </c>
      <c r="J16" s="40"/>
      <c r="K16" s="1">
        <v>19</v>
      </c>
      <c r="M16" s="38"/>
    </row>
    <row r="17" spans="1:13" ht="12.75">
      <c r="A17" s="44"/>
      <c r="B17" s="1" t="s">
        <v>104</v>
      </c>
      <c r="C17" s="42">
        <v>5</v>
      </c>
      <c r="D17" s="42"/>
      <c r="F17" s="43"/>
      <c r="G17" s="38"/>
      <c r="H17" s="39">
        <f>J17/(100+K17)*100</f>
        <v>0</v>
      </c>
      <c r="I17" s="39">
        <f>J17/(100+K17)*K17</f>
        <v>0</v>
      </c>
      <c r="J17" s="40"/>
      <c r="K17" s="1">
        <v>19</v>
      </c>
      <c r="M17" s="38"/>
    </row>
    <row r="18" spans="1:13" ht="12.75">
      <c r="A18" s="44"/>
      <c r="B18" s="1" t="s">
        <v>104</v>
      </c>
      <c r="C18" s="42">
        <v>6</v>
      </c>
      <c r="D18" s="42"/>
      <c r="F18" s="43"/>
      <c r="G18" s="38"/>
      <c r="H18" s="39">
        <f>J18/(100+K18)*100</f>
        <v>0</v>
      </c>
      <c r="I18" s="39">
        <f>J18/(100+K18)*K18</f>
        <v>0</v>
      </c>
      <c r="J18" s="40"/>
      <c r="K18" s="1">
        <v>19</v>
      </c>
      <c r="M18" s="38"/>
    </row>
    <row r="19" spans="1:13" ht="12.75">
      <c r="A19" s="44"/>
      <c r="B19" s="1" t="s">
        <v>104</v>
      </c>
      <c r="C19" s="42">
        <v>7</v>
      </c>
      <c r="D19" s="42"/>
      <c r="F19" s="43"/>
      <c r="G19" s="38"/>
      <c r="H19" s="39">
        <f>J19/(100+K19)*100</f>
        <v>0</v>
      </c>
      <c r="I19" s="39">
        <f>J19/(100+K19)*K19</f>
        <v>0</v>
      </c>
      <c r="J19" s="40"/>
      <c r="K19" s="1">
        <v>19</v>
      </c>
      <c r="M19" s="38"/>
    </row>
    <row r="20" spans="1:13" ht="12.75">
      <c r="A20" s="44"/>
      <c r="B20" s="1" t="s">
        <v>104</v>
      </c>
      <c r="C20" s="42">
        <v>8</v>
      </c>
      <c r="D20" s="42"/>
      <c r="F20" s="43"/>
      <c r="G20" s="38"/>
      <c r="H20" s="39">
        <f>J20/(100+K20)*100</f>
        <v>0</v>
      </c>
      <c r="I20" s="39">
        <f>J20/(100+K20)*K20</f>
        <v>0</v>
      </c>
      <c r="J20" s="40"/>
      <c r="K20" s="1">
        <v>19</v>
      </c>
      <c r="M20" s="38"/>
    </row>
    <row r="21" spans="1:13" ht="12.75">
      <c r="A21" s="44"/>
      <c r="B21" s="1" t="s">
        <v>104</v>
      </c>
      <c r="C21" s="42">
        <v>9</v>
      </c>
      <c r="D21" s="42"/>
      <c r="F21" s="43"/>
      <c r="G21" s="38"/>
      <c r="H21" s="39">
        <f>J21/(100+K21)*100</f>
        <v>0</v>
      </c>
      <c r="I21" s="39">
        <f>J21/(100+K21)*K21</f>
        <v>0</v>
      </c>
      <c r="J21" s="40"/>
      <c r="K21" s="1">
        <v>19</v>
      </c>
      <c r="M21" s="38"/>
    </row>
    <row r="22" spans="1:13" ht="12.75">
      <c r="A22" s="44"/>
      <c r="B22" s="1" t="s">
        <v>104</v>
      </c>
      <c r="C22" s="42">
        <v>10</v>
      </c>
      <c r="D22" s="42"/>
      <c r="F22" s="43"/>
      <c r="G22" s="38"/>
      <c r="H22" s="39">
        <f>J22/(100+K22)*100</f>
        <v>0</v>
      </c>
      <c r="I22" s="39">
        <f>J22/(100+K22)*K22</f>
        <v>0</v>
      </c>
      <c r="J22" s="40"/>
      <c r="K22" s="1">
        <v>19</v>
      </c>
      <c r="M22" s="38"/>
    </row>
    <row r="23" spans="1:13" ht="12.75">
      <c r="A23" s="44"/>
      <c r="B23" s="1" t="s">
        <v>104</v>
      </c>
      <c r="C23" s="42">
        <v>11</v>
      </c>
      <c r="D23" s="42"/>
      <c r="F23" s="43"/>
      <c r="G23" s="38"/>
      <c r="H23" s="39">
        <f>J23/(100+K23)*100</f>
        <v>0</v>
      </c>
      <c r="I23" s="39">
        <f>J23/(100+K23)*K23</f>
        <v>0</v>
      </c>
      <c r="J23" s="40"/>
      <c r="K23" s="1">
        <v>19</v>
      </c>
      <c r="M23" s="38"/>
    </row>
    <row r="24" spans="1:13" ht="12.75">
      <c r="A24" s="44"/>
      <c r="B24" s="1" t="s">
        <v>104</v>
      </c>
      <c r="C24" s="42">
        <v>12</v>
      </c>
      <c r="D24" s="42"/>
      <c r="F24" s="43"/>
      <c r="G24" s="38"/>
      <c r="H24" s="39">
        <f>J24/(100+K24)*100</f>
        <v>0</v>
      </c>
      <c r="I24" s="39">
        <f>J24/(100+K24)*K24</f>
        <v>0</v>
      </c>
      <c r="J24" s="40"/>
      <c r="K24" s="1">
        <v>19</v>
      </c>
      <c r="M24" s="38"/>
    </row>
    <row r="25" spans="1:13" ht="12.75">
      <c r="A25" s="44"/>
      <c r="B25" s="1" t="s">
        <v>104</v>
      </c>
      <c r="C25" s="42">
        <v>13</v>
      </c>
      <c r="D25" s="42"/>
      <c r="F25" s="43"/>
      <c r="H25" s="39">
        <f>J25/(100+K25)*100</f>
        <v>0</v>
      </c>
      <c r="I25" s="39">
        <f>J25/(100+K25)*K25</f>
        <v>0</v>
      </c>
      <c r="J25" s="40"/>
      <c r="K25" s="1">
        <v>19</v>
      </c>
      <c r="M25" s="38"/>
    </row>
    <row r="26" spans="1:13" ht="12.75">
      <c r="A26" s="44"/>
      <c r="B26" s="1" t="s">
        <v>104</v>
      </c>
      <c r="C26" s="42">
        <v>14</v>
      </c>
      <c r="D26" s="42"/>
      <c r="F26" s="43"/>
      <c r="G26" s="38"/>
      <c r="H26" s="39">
        <f>J26/(100+K26)*100</f>
        <v>0</v>
      </c>
      <c r="I26" s="39">
        <f>J26/(100+K26)*K26</f>
        <v>0</v>
      </c>
      <c r="J26" s="40"/>
      <c r="K26" s="1">
        <v>19</v>
      </c>
      <c r="M26" s="38"/>
    </row>
    <row r="27" spans="1:13" ht="12.75">
      <c r="A27" s="44"/>
      <c r="B27" s="1" t="s">
        <v>104</v>
      </c>
      <c r="C27" s="42">
        <v>15</v>
      </c>
      <c r="D27" s="42"/>
      <c r="F27" s="43"/>
      <c r="G27" s="38"/>
      <c r="H27" s="39">
        <f>J27/(100+K27)*100</f>
        <v>0</v>
      </c>
      <c r="I27" s="39">
        <f>J27/(100+K27)*K27</f>
        <v>0</v>
      </c>
      <c r="J27" s="40"/>
      <c r="K27" s="1">
        <v>19</v>
      </c>
      <c r="M27" s="38"/>
    </row>
    <row r="28" spans="1:13" ht="12.75">
      <c r="A28" s="44"/>
      <c r="B28" s="1" t="s">
        <v>104</v>
      </c>
      <c r="C28" s="42">
        <v>16</v>
      </c>
      <c r="D28" s="42"/>
      <c r="F28" s="43"/>
      <c r="G28" s="38"/>
      <c r="H28" s="39">
        <f>J28/(100+K28)*100</f>
        <v>0</v>
      </c>
      <c r="I28" s="39">
        <f>J28/(100+K28)*K28</f>
        <v>0</v>
      </c>
      <c r="J28" s="40"/>
      <c r="K28" s="1">
        <v>19</v>
      </c>
      <c r="M28" s="38"/>
    </row>
    <row r="29" spans="1:13" ht="12.75">
      <c r="A29" s="44"/>
      <c r="B29" s="1" t="s">
        <v>104</v>
      </c>
      <c r="C29" s="42">
        <v>17</v>
      </c>
      <c r="D29" s="42"/>
      <c r="F29" s="43"/>
      <c r="G29" s="38"/>
      <c r="H29" s="39">
        <f>J29/(100+K29)*100</f>
        <v>0</v>
      </c>
      <c r="I29" s="39">
        <f>J29/(100+K29)*K29</f>
        <v>0</v>
      </c>
      <c r="J29" s="40"/>
      <c r="K29" s="1">
        <v>19</v>
      </c>
      <c r="M29" s="38"/>
    </row>
    <row r="30" spans="1:13" ht="12.75">
      <c r="A30" s="44"/>
      <c r="B30" s="1" t="s">
        <v>104</v>
      </c>
      <c r="C30" s="42">
        <v>18</v>
      </c>
      <c r="D30" s="42"/>
      <c r="F30" s="43"/>
      <c r="G30" s="38"/>
      <c r="H30" s="39">
        <f>J30/(100+K30)*100</f>
        <v>0</v>
      </c>
      <c r="I30" s="39">
        <f>J30/(100+K30)*K30</f>
        <v>0</v>
      </c>
      <c r="J30" s="40"/>
      <c r="K30" s="1">
        <v>19</v>
      </c>
      <c r="M30" s="38"/>
    </row>
    <row r="31" spans="1:13" ht="12.75">
      <c r="A31" s="44"/>
      <c r="B31" s="1" t="s">
        <v>104</v>
      </c>
      <c r="C31" s="42">
        <v>19</v>
      </c>
      <c r="D31" s="42"/>
      <c r="F31" s="43"/>
      <c r="G31" s="38"/>
      <c r="H31" s="39">
        <f>J31/(100+K31)*100</f>
        <v>0</v>
      </c>
      <c r="I31" s="39">
        <f>J31/(100+K31)*K31</f>
        <v>0</v>
      </c>
      <c r="J31" s="40"/>
      <c r="K31" s="1">
        <v>19</v>
      </c>
      <c r="M31" s="38"/>
    </row>
    <row r="32" spans="1:13" ht="12.75">
      <c r="A32" s="44"/>
      <c r="B32" s="1" t="s">
        <v>104</v>
      </c>
      <c r="C32" s="42">
        <v>20</v>
      </c>
      <c r="D32" s="42"/>
      <c r="F32" s="43"/>
      <c r="G32" s="38"/>
      <c r="H32" s="39">
        <f>J32/(100+K32)*100</f>
        <v>0</v>
      </c>
      <c r="I32" s="39">
        <f>J32/(100+K32)*K32</f>
        <v>0</v>
      </c>
      <c r="J32" s="40"/>
      <c r="K32" s="1">
        <v>19</v>
      </c>
      <c r="M32" s="38"/>
    </row>
    <row r="33" spans="1:13" ht="12.75">
      <c r="A33" s="44"/>
      <c r="B33" s="1" t="s">
        <v>104</v>
      </c>
      <c r="C33" s="42">
        <v>21</v>
      </c>
      <c r="D33" s="42"/>
      <c r="F33" s="43"/>
      <c r="G33" s="38"/>
      <c r="H33" s="39">
        <f>J33/(100+K33)*100</f>
        <v>0</v>
      </c>
      <c r="I33" s="39">
        <f>J33/(100+K33)*K33</f>
        <v>0</v>
      </c>
      <c r="J33" s="40"/>
      <c r="K33" s="1">
        <v>19</v>
      </c>
      <c r="M33" s="38"/>
    </row>
    <row r="34" spans="1:13" ht="12.75">
      <c r="A34" s="44"/>
      <c r="B34" s="1" t="s">
        <v>104</v>
      </c>
      <c r="C34" s="42">
        <v>22</v>
      </c>
      <c r="D34" s="42"/>
      <c r="F34" s="43"/>
      <c r="G34" s="38"/>
      <c r="H34" s="39">
        <f>J34/(100+K34)*100</f>
        <v>0</v>
      </c>
      <c r="I34" s="39">
        <f>J34/(100+K34)*K34</f>
        <v>0</v>
      </c>
      <c r="J34" s="40"/>
      <c r="K34" s="1">
        <v>19</v>
      </c>
      <c r="M34" s="38"/>
    </row>
    <row r="35" spans="1:13" ht="12.75">
      <c r="A35" s="44"/>
      <c r="B35" s="1" t="s">
        <v>104</v>
      </c>
      <c r="C35" s="42">
        <v>23</v>
      </c>
      <c r="D35" s="42"/>
      <c r="F35" s="43"/>
      <c r="G35" s="38"/>
      <c r="H35" s="39">
        <f>J35/(100+K35)*100</f>
        <v>0</v>
      </c>
      <c r="I35" s="39">
        <f>J35/(100+K35)*K35</f>
        <v>0</v>
      </c>
      <c r="J35" s="40"/>
      <c r="K35" s="1">
        <v>19</v>
      </c>
      <c r="M35" s="38"/>
    </row>
    <row r="36" spans="1:13" ht="12.75">
      <c r="A36" s="44"/>
      <c r="B36" s="1" t="s">
        <v>104</v>
      </c>
      <c r="C36" s="42">
        <v>24</v>
      </c>
      <c r="D36" s="42"/>
      <c r="F36" s="43"/>
      <c r="G36" s="38"/>
      <c r="H36" s="39">
        <f>J36/(100+K36)*100</f>
        <v>0</v>
      </c>
      <c r="I36" s="39">
        <f>J36/(100+K36)*K36</f>
        <v>0</v>
      </c>
      <c r="J36" s="40"/>
      <c r="K36" s="1">
        <v>19</v>
      </c>
      <c r="M36" s="38"/>
    </row>
    <row r="37" spans="1:13" ht="12.75">
      <c r="A37" s="44"/>
      <c r="B37" s="1" t="s">
        <v>104</v>
      </c>
      <c r="C37" s="42">
        <v>25</v>
      </c>
      <c r="D37" s="42"/>
      <c r="F37" s="43"/>
      <c r="G37" s="38"/>
      <c r="H37" s="39">
        <f>J37/(100+K37)*100</f>
        <v>0</v>
      </c>
      <c r="I37" s="39">
        <f>J37/(100+K37)*K37</f>
        <v>0</v>
      </c>
      <c r="J37" s="40"/>
      <c r="K37" s="1">
        <v>19</v>
      </c>
      <c r="M37" s="38"/>
    </row>
    <row r="38" spans="1:13" ht="12.75">
      <c r="A38" s="44"/>
      <c r="B38" s="1" t="s">
        <v>104</v>
      </c>
      <c r="C38" s="42">
        <v>26</v>
      </c>
      <c r="D38" s="42"/>
      <c r="F38" s="43"/>
      <c r="G38" s="38"/>
      <c r="H38" s="39">
        <f>J38/(100+K38)*100</f>
        <v>0</v>
      </c>
      <c r="I38" s="39">
        <f>J38/(100+K38)*K38</f>
        <v>0</v>
      </c>
      <c r="J38" s="40"/>
      <c r="K38" s="1">
        <v>19</v>
      </c>
      <c r="M38" s="38"/>
    </row>
    <row r="39" spans="1:13" ht="12.75">
      <c r="A39" s="44"/>
      <c r="B39" s="1" t="s">
        <v>104</v>
      </c>
      <c r="C39" s="42">
        <v>27</v>
      </c>
      <c r="D39" s="42"/>
      <c r="F39" s="43"/>
      <c r="G39" s="38"/>
      <c r="H39" s="39">
        <f>J39/(100+K39)*100</f>
        <v>0</v>
      </c>
      <c r="I39" s="39">
        <f>J39/(100+K39)*K39</f>
        <v>0</v>
      </c>
      <c r="J39" s="40"/>
      <c r="K39" s="1">
        <v>19</v>
      </c>
      <c r="M39" s="38"/>
    </row>
    <row r="40" spans="1:13" ht="12.75">
      <c r="A40" s="44"/>
      <c r="B40" s="1" t="s">
        <v>104</v>
      </c>
      <c r="C40" s="42">
        <v>28</v>
      </c>
      <c r="D40" s="42"/>
      <c r="F40" s="43"/>
      <c r="G40" s="38"/>
      <c r="H40" s="39">
        <f>J40/(100+K40)*100</f>
        <v>0</v>
      </c>
      <c r="I40" s="39">
        <f>J40/(100+K40)*K40</f>
        <v>0</v>
      </c>
      <c r="J40" s="40"/>
      <c r="K40" s="1">
        <v>19</v>
      </c>
      <c r="L40" s="45"/>
      <c r="M40"/>
    </row>
    <row r="41" spans="1:13" ht="12.75">
      <c r="A41" s="44"/>
      <c r="B41" s="1" t="s">
        <v>104</v>
      </c>
      <c r="C41" s="42">
        <v>29</v>
      </c>
      <c r="D41" s="42"/>
      <c r="F41" s="43"/>
      <c r="G41" s="46"/>
      <c r="H41" s="39">
        <f>J41/(100+K41)*100</f>
        <v>0</v>
      </c>
      <c r="I41" s="39">
        <f>J41/(100+K41)*K41</f>
        <v>0</v>
      </c>
      <c r="J41" s="40"/>
      <c r="K41" s="1">
        <v>19</v>
      </c>
      <c r="L41" s="45"/>
      <c r="M41"/>
    </row>
    <row r="42" spans="1:13" ht="12.75">
      <c r="A42" s="44"/>
      <c r="B42" s="1" t="s">
        <v>104</v>
      </c>
      <c r="C42" s="42">
        <v>30</v>
      </c>
      <c r="D42" s="42"/>
      <c r="F42" s="43"/>
      <c r="G42" s="38"/>
      <c r="H42" s="39">
        <f>J42/(100+K42)*100</f>
        <v>0</v>
      </c>
      <c r="I42" s="39">
        <f>J42/(100+K42)*K42</f>
        <v>0</v>
      </c>
      <c r="J42" s="40"/>
      <c r="K42" s="1">
        <v>19</v>
      </c>
      <c r="M42" s="38"/>
    </row>
    <row r="43" spans="1:13" ht="12.75">
      <c r="A43" s="44"/>
      <c r="B43" s="1" t="s">
        <v>104</v>
      </c>
      <c r="C43" s="42">
        <v>31</v>
      </c>
      <c r="D43" s="42"/>
      <c r="F43" s="43"/>
      <c r="G43" s="38"/>
      <c r="H43" s="39">
        <f>J43/(100+K43)*100</f>
        <v>0</v>
      </c>
      <c r="I43" s="39">
        <f>J43/(100+K43)*K43</f>
        <v>0</v>
      </c>
      <c r="J43" s="40"/>
      <c r="K43" s="1">
        <v>19</v>
      </c>
      <c r="M43" s="38"/>
    </row>
    <row r="44" spans="1:13" ht="12.75">
      <c r="A44" s="44"/>
      <c r="B44" s="1" t="s">
        <v>104</v>
      </c>
      <c r="C44" s="42">
        <v>32</v>
      </c>
      <c r="D44" s="42"/>
      <c r="F44" s="43"/>
      <c r="G44" s="38"/>
      <c r="H44" s="39">
        <f>J44/(100+K44)*100</f>
        <v>0</v>
      </c>
      <c r="I44" s="39">
        <f>J44/(100+K44)*K44</f>
        <v>0</v>
      </c>
      <c r="J44" s="40"/>
      <c r="K44" s="1">
        <v>19</v>
      </c>
      <c r="M44" s="38"/>
    </row>
    <row r="45" spans="1:13" ht="12.75">
      <c r="A45" s="44"/>
      <c r="B45" s="1" t="s">
        <v>104</v>
      </c>
      <c r="C45" s="42">
        <v>33</v>
      </c>
      <c r="D45" s="42"/>
      <c r="F45" s="43"/>
      <c r="G45" s="38"/>
      <c r="H45" s="39">
        <f>J45/(100+K45)*100</f>
        <v>0</v>
      </c>
      <c r="I45" s="39">
        <f>J45/(100+K45)*K45</f>
        <v>0</v>
      </c>
      <c r="J45" s="40"/>
      <c r="K45" s="1">
        <v>19</v>
      </c>
      <c r="M45" s="38"/>
    </row>
    <row r="46" spans="1:13" ht="12.75">
      <c r="A46" s="44"/>
      <c r="B46" s="1" t="s">
        <v>104</v>
      </c>
      <c r="C46" s="42">
        <v>34</v>
      </c>
      <c r="D46" s="42"/>
      <c r="F46" s="43"/>
      <c r="G46" s="38"/>
      <c r="H46" s="39">
        <f>J46/(100+K46)*100</f>
        <v>0</v>
      </c>
      <c r="I46" s="39">
        <f>J46/(100+K46)*K46</f>
        <v>0</v>
      </c>
      <c r="J46" s="40"/>
      <c r="K46" s="1">
        <v>19</v>
      </c>
      <c r="M46" s="38"/>
    </row>
    <row r="47" spans="1:13" ht="12.75">
      <c r="A47" s="44"/>
      <c r="B47" s="1" t="s">
        <v>104</v>
      </c>
      <c r="C47" s="42">
        <v>35</v>
      </c>
      <c r="D47" s="42"/>
      <c r="F47" s="43"/>
      <c r="G47" s="38"/>
      <c r="H47" s="39">
        <f>J47/(100+K47)*100</f>
        <v>0</v>
      </c>
      <c r="I47" s="39">
        <f>J47/(100+K47)*K47</f>
        <v>0</v>
      </c>
      <c r="J47" s="40"/>
      <c r="K47" s="1">
        <v>19</v>
      </c>
      <c r="M47" s="38"/>
    </row>
    <row r="48" spans="1:13" ht="12.75">
      <c r="A48" s="44"/>
      <c r="B48" s="1" t="s">
        <v>104</v>
      </c>
      <c r="C48" s="42">
        <v>36</v>
      </c>
      <c r="D48" s="42"/>
      <c r="F48" s="43"/>
      <c r="G48" s="38"/>
      <c r="H48" s="39">
        <f>J48/(100+K48)*100</f>
        <v>0</v>
      </c>
      <c r="I48" s="39">
        <f>J48/(100+K48)*K48</f>
        <v>0</v>
      </c>
      <c r="J48" s="40"/>
      <c r="K48" s="1">
        <v>19</v>
      </c>
      <c r="M48" s="38"/>
    </row>
    <row r="49" spans="1:13" ht="12.75">
      <c r="A49" s="44"/>
      <c r="B49" s="1" t="s">
        <v>104</v>
      </c>
      <c r="C49" s="42">
        <v>37</v>
      </c>
      <c r="D49" s="42"/>
      <c r="F49" s="43"/>
      <c r="G49" s="38"/>
      <c r="H49" s="39">
        <f>J49/(100+K49)*100</f>
        <v>0</v>
      </c>
      <c r="I49" s="39">
        <f>J49/(100+K49)*K49</f>
        <v>0</v>
      </c>
      <c r="J49" s="40"/>
      <c r="K49" s="1">
        <v>19</v>
      </c>
      <c r="M49" s="38"/>
    </row>
    <row r="50" spans="1:13" ht="12.75">
      <c r="A50" s="44"/>
      <c r="B50" s="1" t="s">
        <v>104</v>
      </c>
      <c r="C50" s="42">
        <v>38</v>
      </c>
      <c r="D50" s="42"/>
      <c r="F50" s="43"/>
      <c r="G50" s="38"/>
      <c r="H50" s="39">
        <f>J50/(100+K50)*100</f>
        <v>0</v>
      </c>
      <c r="I50" s="39">
        <f>J50/(100+K50)*K50</f>
        <v>0</v>
      </c>
      <c r="J50" s="40"/>
      <c r="K50" s="1">
        <v>19</v>
      </c>
      <c r="M50" s="38"/>
    </row>
    <row r="51" spans="1:13" ht="12.75">
      <c r="A51" s="44"/>
      <c r="B51" s="1" t="s">
        <v>104</v>
      </c>
      <c r="C51" s="42">
        <v>39</v>
      </c>
      <c r="D51" s="42"/>
      <c r="F51" s="43"/>
      <c r="G51" s="38"/>
      <c r="H51" s="39">
        <f>J51/(100+K51)*100</f>
        <v>0</v>
      </c>
      <c r="I51" s="39">
        <f>J51/(100+K51)*K51</f>
        <v>0</v>
      </c>
      <c r="J51" s="40"/>
      <c r="K51" s="1">
        <v>19</v>
      </c>
      <c r="M51" s="38"/>
    </row>
    <row r="52" spans="1:13" ht="12.75">
      <c r="A52" s="44"/>
      <c r="B52" s="1" t="s">
        <v>104</v>
      </c>
      <c r="C52" s="42">
        <v>40</v>
      </c>
      <c r="D52" s="42"/>
      <c r="F52" s="43"/>
      <c r="G52" s="38"/>
      <c r="H52" s="39">
        <f>J52/(100+K52)*100</f>
        <v>0</v>
      </c>
      <c r="I52" s="39">
        <f>J52/(100+K52)*K52</f>
        <v>0</v>
      </c>
      <c r="J52" s="40"/>
      <c r="K52" s="1">
        <v>19</v>
      </c>
      <c r="M52" s="38"/>
    </row>
    <row r="53" spans="1:13" ht="12.75">
      <c r="A53" s="44"/>
      <c r="B53" s="1" t="s">
        <v>104</v>
      </c>
      <c r="C53" s="42">
        <v>41</v>
      </c>
      <c r="D53" s="42"/>
      <c r="F53" s="43"/>
      <c r="G53" s="38"/>
      <c r="H53" s="39">
        <f>J53/(100+K53)*100</f>
        <v>0</v>
      </c>
      <c r="I53" s="39">
        <f>J53/(100+K53)*K53</f>
        <v>0</v>
      </c>
      <c r="J53" s="40"/>
      <c r="K53" s="1">
        <v>19</v>
      </c>
      <c r="M53" s="38"/>
    </row>
    <row r="54" spans="1:13" ht="12.75">
      <c r="A54" s="44"/>
      <c r="B54" s="1" t="s">
        <v>104</v>
      </c>
      <c r="C54" s="42">
        <v>42</v>
      </c>
      <c r="D54" s="42"/>
      <c r="F54" s="43"/>
      <c r="G54" s="38"/>
      <c r="H54" s="39">
        <f>J54/(100+K54)*100</f>
        <v>0</v>
      </c>
      <c r="I54" s="39">
        <f>J54/(100+K54)*K54</f>
        <v>0</v>
      </c>
      <c r="J54" s="40"/>
      <c r="K54" s="1">
        <v>19</v>
      </c>
      <c r="M54" s="38"/>
    </row>
    <row r="55" spans="1:13" ht="12.75">
      <c r="A55" s="41"/>
      <c r="B55" s="1" t="s">
        <v>104</v>
      </c>
      <c r="C55" s="42">
        <v>43</v>
      </c>
      <c r="D55" s="42"/>
      <c r="F55" s="43"/>
      <c r="G55" s="38"/>
      <c r="H55" s="39">
        <f>J55/(100+K55)*100</f>
        <v>0</v>
      </c>
      <c r="I55" s="39">
        <f>J55/(100+K55)*K55</f>
        <v>0</v>
      </c>
      <c r="J55" s="40"/>
      <c r="K55" s="1">
        <v>19</v>
      </c>
      <c r="M55" s="38"/>
    </row>
    <row r="56" spans="1:13" ht="12.75">
      <c r="A56" s="41"/>
      <c r="B56" s="1" t="s">
        <v>104</v>
      </c>
      <c r="C56" s="42">
        <v>44</v>
      </c>
      <c r="D56" s="42"/>
      <c r="F56" s="43"/>
      <c r="G56" s="38"/>
      <c r="H56" s="39">
        <f>J56/(100+K56)*100</f>
        <v>0</v>
      </c>
      <c r="I56" s="39">
        <f>J56/(100+K56)*K56</f>
        <v>0</v>
      </c>
      <c r="J56" s="40"/>
      <c r="K56" s="1">
        <v>19</v>
      </c>
      <c r="M56" s="38"/>
    </row>
    <row r="57" spans="1:13" ht="12.75">
      <c r="A57" s="41"/>
      <c r="B57" s="1" t="s">
        <v>104</v>
      </c>
      <c r="C57" s="42">
        <v>45</v>
      </c>
      <c r="D57" s="42"/>
      <c r="F57" s="43"/>
      <c r="G57" s="38"/>
      <c r="H57" s="39">
        <f>J57/(100+K57)*100</f>
        <v>0</v>
      </c>
      <c r="I57" s="39">
        <f>J57/(100+K57)*K57</f>
        <v>0</v>
      </c>
      <c r="J57" s="40"/>
      <c r="K57" s="1">
        <v>19</v>
      </c>
      <c r="M57" s="38"/>
    </row>
    <row r="58" spans="1:13" ht="12.75">
      <c r="A58" s="41"/>
      <c r="B58" s="1" t="s">
        <v>104</v>
      </c>
      <c r="C58" s="42">
        <v>46</v>
      </c>
      <c r="D58" s="42"/>
      <c r="F58" s="43"/>
      <c r="G58" s="38"/>
      <c r="H58" s="39">
        <f>J58/(100+K58)*100</f>
        <v>0</v>
      </c>
      <c r="I58" s="39">
        <f>J58/(100+K58)*K58</f>
        <v>0</v>
      </c>
      <c r="J58" s="40"/>
      <c r="K58" s="1">
        <v>19</v>
      </c>
      <c r="M58" s="38"/>
    </row>
    <row r="59" spans="1:13" ht="12.75">
      <c r="A59" s="41"/>
      <c r="B59" s="1" t="s">
        <v>104</v>
      </c>
      <c r="C59" s="42">
        <v>47</v>
      </c>
      <c r="D59" s="42"/>
      <c r="F59" s="43"/>
      <c r="G59" s="38"/>
      <c r="H59" s="39">
        <f>J59/(100+K59)*100</f>
        <v>0</v>
      </c>
      <c r="I59" s="39">
        <f>J59/(100+K59)*K59</f>
        <v>0</v>
      </c>
      <c r="J59" s="40"/>
      <c r="K59" s="1">
        <v>19</v>
      </c>
      <c r="M59" s="38"/>
    </row>
    <row r="60" spans="1:13" ht="12.75">
      <c r="A60" s="41"/>
      <c r="B60" s="1" t="s">
        <v>104</v>
      </c>
      <c r="C60" s="42">
        <v>48</v>
      </c>
      <c r="D60" s="42"/>
      <c r="F60" s="43"/>
      <c r="G60" s="38"/>
      <c r="H60" s="39">
        <f>J60/(100+K60)*100</f>
        <v>0</v>
      </c>
      <c r="I60" s="39">
        <f>J60/(100+K60)*K60</f>
        <v>0</v>
      </c>
      <c r="J60" s="40"/>
      <c r="K60" s="1">
        <v>19</v>
      </c>
      <c r="M60" s="38"/>
    </row>
    <row r="61" spans="1:13" ht="12.75">
      <c r="A61" s="41"/>
      <c r="B61" s="1" t="s">
        <v>104</v>
      </c>
      <c r="C61" s="42">
        <v>49</v>
      </c>
      <c r="D61" s="42"/>
      <c r="F61" s="43"/>
      <c r="G61" s="38"/>
      <c r="H61" s="39">
        <f>J61/(100+K61)*100</f>
        <v>0</v>
      </c>
      <c r="I61" s="39">
        <f>J61/(100+K61)*K61</f>
        <v>0</v>
      </c>
      <c r="J61" s="40"/>
      <c r="K61" s="1">
        <v>19</v>
      </c>
      <c r="M61" s="38"/>
    </row>
    <row r="62" spans="1:13" ht="12.75">
      <c r="A62" s="41"/>
      <c r="B62" s="1" t="s">
        <v>104</v>
      </c>
      <c r="C62" s="42">
        <v>50</v>
      </c>
      <c r="D62" s="42"/>
      <c r="F62" s="43"/>
      <c r="G62" s="38"/>
      <c r="H62" s="39">
        <f>J62/(100+K62)*100</f>
        <v>0</v>
      </c>
      <c r="I62" s="39">
        <f>J62/(100+K62)*K62</f>
        <v>0</v>
      </c>
      <c r="J62" s="40"/>
      <c r="K62" s="1">
        <v>19</v>
      </c>
      <c r="M62" s="38"/>
    </row>
    <row r="63" spans="1:13" ht="12.75">
      <c r="A63" s="41"/>
      <c r="B63" s="1" t="s">
        <v>104</v>
      </c>
      <c r="C63" s="42">
        <v>51</v>
      </c>
      <c r="D63" s="42"/>
      <c r="F63" s="43"/>
      <c r="G63" s="38"/>
      <c r="H63" s="39">
        <f>J63/(100+K63)*100</f>
        <v>0</v>
      </c>
      <c r="I63" s="39">
        <f>J63/(100+K63)*K63</f>
        <v>0</v>
      </c>
      <c r="J63" s="40"/>
      <c r="K63" s="1">
        <v>19</v>
      </c>
      <c r="M63" s="38"/>
    </row>
    <row r="64" spans="1:13" ht="12.75">
      <c r="A64" s="41"/>
      <c r="B64" s="1" t="s">
        <v>104</v>
      </c>
      <c r="C64" s="42">
        <v>52</v>
      </c>
      <c r="D64" s="42"/>
      <c r="F64" s="43"/>
      <c r="G64" s="46"/>
      <c r="H64" s="39">
        <f>J64/(100+K64)*100</f>
        <v>0</v>
      </c>
      <c r="I64" s="39">
        <f>J64/(100+K64)*K64</f>
        <v>0</v>
      </c>
      <c r="J64" s="40"/>
      <c r="K64" s="1">
        <v>19</v>
      </c>
      <c r="M64" s="38"/>
    </row>
    <row r="65" spans="1:13" ht="12.75">
      <c r="A65" s="41"/>
      <c r="B65" s="1" t="s">
        <v>104</v>
      </c>
      <c r="C65" s="42">
        <v>53</v>
      </c>
      <c r="D65" s="42"/>
      <c r="F65" s="43"/>
      <c r="G65" s="38"/>
      <c r="H65" s="39">
        <f>J65/(100+K65)*100</f>
        <v>0</v>
      </c>
      <c r="I65" s="39">
        <f>J65/(100+K65)*K65</f>
        <v>0</v>
      </c>
      <c r="J65" s="40"/>
      <c r="K65" s="1">
        <v>19</v>
      </c>
      <c r="M65" s="38"/>
    </row>
    <row r="66" spans="1:13" ht="12.75">
      <c r="A66" s="41"/>
      <c r="B66" s="1" t="s">
        <v>104</v>
      </c>
      <c r="C66" s="42">
        <v>54</v>
      </c>
      <c r="D66" s="42"/>
      <c r="F66" s="43"/>
      <c r="G66" s="38"/>
      <c r="H66" s="39">
        <f>J66/(100+K66)*100</f>
        <v>0</v>
      </c>
      <c r="I66" s="39">
        <f>J66/(100+K66)*K66</f>
        <v>0</v>
      </c>
      <c r="J66" s="40"/>
      <c r="K66" s="1">
        <v>19</v>
      </c>
      <c r="M66" s="38"/>
    </row>
    <row r="67" spans="1:13" ht="12.75">
      <c r="A67" s="41"/>
      <c r="B67" s="1" t="s">
        <v>104</v>
      </c>
      <c r="C67" s="42">
        <v>55</v>
      </c>
      <c r="D67" s="42"/>
      <c r="F67" s="43"/>
      <c r="G67" s="38"/>
      <c r="H67" s="39">
        <f>J67/(100+K67)*100</f>
        <v>0</v>
      </c>
      <c r="I67" s="39">
        <f>J67/(100+K67)*K67</f>
        <v>0</v>
      </c>
      <c r="J67" s="40"/>
      <c r="K67" s="1">
        <v>19</v>
      </c>
      <c r="M67" s="38"/>
    </row>
    <row r="68" spans="1:13" ht="12.75">
      <c r="A68" s="41"/>
      <c r="B68" s="1" t="s">
        <v>104</v>
      </c>
      <c r="C68" s="42">
        <v>56</v>
      </c>
      <c r="D68" s="42"/>
      <c r="F68" s="43"/>
      <c r="G68" s="38"/>
      <c r="H68" s="39">
        <f>J68/(100+K68)*100</f>
        <v>0</v>
      </c>
      <c r="I68" s="39">
        <f>J68/(100+K68)*K68</f>
        <v>0</v>
      </c>
      <c r="J68" s="40"/>
      <c r="K68" s="1">
        <v>19</v>
      </c>
      <c r="M68" s="38"/>
    </row>
    <row r="69" spans="1:13" ht="12.75">
      <c r="A69" s="41"/>
      <c r="B69" s="1" t="s">
        <v>104</v>
      </c>
      <c r="C69" s="42">
        <v>57</v>
      </c>
      <c r="D69" s="42"/>
      <c r="F69" s="43"/>
      <c r="G69" s="38"/>
      <c r="H69" s="39">
        <f>J69/(100+K69)*100</f>
        <v>0</v>
      </c>
      <c r="I69" s="39">
        <f>J69/(100+K69)*K69</f>
        <v>0</v>
      </c>
      <c r="J69" s="40"/>
      <c r="K69" s="1">
        <v>19</v>
      </c>
      <c r="M69" s="38"/>
    </row>
    <row r="70" spans="1:13" ht="12.75">
      <c r="A70" s="41"/>
      <c r="B70" s="1" t="s">
        <v>104</v>
      </c>
      <c r="C70" s="42">
        <v>58</v>
      </c>
      <c r="D70" s="42"/>
      <c r="F70" s="43"/>
      <c r="G70" s="38"/>
      <c r="H70" s="39">
        <f>J70/(100+K70)*100</f>
        <v>0</v>
      </c>
      <c r="I70" s="39">
        <f>J70/(100+K70)*K70</f>
        <v>0</v>
      </c>
      <c r="J70" s="40"/>
      <c r="K70" s="1">
        <v>19</v>
      </c>
      <c r="M70" s="38"/>
    </row>
    <row r="71" spans="1:13" ht="12.75">
      <c r="A71" s="41"/>
      <c r="B71" s="1" t="s">
        <v>104</v>
      </c>
      <c r="C71" s="42">
        <v>59</v>
      </c>
      <c r="D71" s="42"/>
      <c r="F71" s="43"/>
      <c r="G71" s="38"/>
      <c r="H71" s="39">
        <f>J71/(100+K71)*100</f>
        <v>0</v>
      </c>
      <c r="I71" s="39">
        <f>J71/(100+K71)*K71</f>
        <v>0</v>
      </c>
      <c r="J71" s="40"/>
      <c r="K71" s="1">
        <v>19</v>
      </c>
      <c r="M71" s="38"/>
    </row>
    <row r="72" spans="1:13" ht="12.75">
      <c r="A72" s="41"/>
      <c r="B72" s="1" t="s">
        <v>104</v>
      </c>
      <c r="C72" s="42">
        <v>60</v>
      </c>
      <c r="D72" s="42"/>
      <c r="F72" s="43"/>
      <c r="G72" s="38"/>
      <c r="H72" s="39">
        <f>J72/(100+K72)*100</f>
        <v>0</v>
      </c>
      <c r="I72" s="39">
        <f>J72/(100+K72)*K72</f>
        <v>0</v>
      </c>
      <c r="J72" s="40"/>
      <c r="K72" s="1">
        <v>19</v>
      </c>
      <c r="M72" s="38"/>
    </row>
    <row r="73" spans="1:13" ht="12.75">
      <c r="A73" s="41"/>
      <c r="B73" s="1" t="s">
        <v>104</v>
      </c>
      <c r="C73" s="42">
        <v>61</v>
      </c>
      <c r="D73" s="42"/>
      <c r="F73" s="43"/>
      <c r="G73" s="38"/>
      <c r="H73" s="39">
        <f>J73/(100+K73)*100</f>
        <v>0</v>
      </c>
      <c r="I73" s="39">
        <f>J73/(100+K73)*K73</f>
        <v>0</v>
      </c>
      <c r="J73" s="40"/>
      <c r="K73" s="1">
        <v>19</v>
      </c>
      <c r="M73" s="38"/>
    </row>
    <row r="74" spans="1:13" ht="12.75">
      <c r="A74" s="41"/>
      <c r="B74" s="1" t="s">
        <v>104</v>
      </c>
      <c r="C74" s="42">
        <v>62</v>
      </c>
      <c r="D74" s="42"/>
      <c r="F74" s="43"/>
      <c r="G74" s="38"/>
      <c r="H74" s="39">
        <f>J74/(100+K74)*100</f>
        <v>0</v>
      </c>
      <c r="I74" s="39">
        <f>J74/(100+K74)*K74</f>
        <v>0</v>
      </c>
      <c r="J74" s="40"/>
      <c r="K74" s="1">
        <v>19</v>
      </c>
      <c r="M74" s="38"/>
    </row>
    <row r="75" spans="1:13" ht="12.75">
      <c r="A75" s="41"/>
      <c r="B75" s="1" t="s">
        <v>104</v>
      </c>
      <c r="C75" s="42">
        <v>63</v>
      </c>
      <c r="D75" s="42"/>
      <c r="F75" s="43"/>
      <c r="G75" s="38"/>
      <c r="H75" s="39">
        <f>J75/(100+K75)*100</f>
        <v>0</v>
      </c>
      <c r="I75" s="39">
        <f>J75/(100+K75)*K75</f>
        <v>0</v>
      </c>
      <c r="J75" s="40"/>
      <c r="K75" s="1">
        <v>19</v>
      </c>
      <c r="M75" s="38"/>
    </row>
    <row r="76" spans="1:13" ht="12.75">
      <c r="A76" s="41"/>
      <c r="B76" s="1" t="s">
        <v>104</v>
      </c>
      <c r="C76" s="42">
        <v>64</v>
      </c>
      <c r="D76" s="42"/>
      <c r="F76" s="43"/>
      <c r="G76" s="38"/>
      <c r="H76" s="39">
        <f>J76/(100+K76)*100</f>
        <v>0</v>
      </c>
      <c r="I76" s="39">
        <f>J76/(100+K76)*K76</f>
        <v>0</v>
      </c>
      <c r="J76" s="40"/>
      <c r="K76" s="1">
        <v>19</v>
      </c>
      <c r="M76" s="38"/>
    </row>
    <row r="77" spans="1:13" ht="12.75">
      <c r="A77" s="41"/>
      <c r="B77" s="1" t="s">
        <v>104</v>
      </c>
      <c r="C77" s="42">
        <v>65</v>
      </c>
      <c r="D77" s="42"/>
      <c r="F77" s="43"/>
      <c r="G77" s="38"/>
      <c r="H77" s="39">
        <f>J77/(100+K77)*100</f>
        <v>0</v>
      </c>
      <c r="I77" s="39">
        <f>J77/(100+K77)*K77</f>
        <v>0</v>
      </c>
      <c r="J77" s="40"/>
      <c r="K77" s="1">
        <v>19</v>
      </c>
      <c r="M77" s="38"/>
    </row>
    <row r="78" spans="1:13" ht="12.75">
      <c r="A78" s="41"/>
      <c r="B78" s="1" t="s">
        <v>104</v>
      </c>
      <c r="C78" s="42">
        <v>66</v>
      </c>
      <c r="D78" s="42"/>
      <c r="F78" s="43"/>
      <c r="G78" s="38"/>
      <c r="H78" s="39">
        <f>J78/(100+K78)*100</f>
        <v>0</v>
      </c>
      <c r="I78" s="39">
        <f>J78/(100+K78)*K78</f>
        <v>0</v>
      </c>
      <c r="J78" s="40"/>
      <c r="K78" s="1">
        <v>19</v>
      </c>
      <c r="M78" s="38"/>
    </row>
    <row r="79" spans="1:13" ht="12.75">
      <c r="A79" s="41"/>
      <c r="B79" s="1" t="s">
        <v>104</v>
      </c>
      <c r="C79" s="42">
        <v>67</v>
      </c>
      <c r="D79" s="42"/>
      <c r="F79" s="43"/>
      <c r="G79" s="38"/>
      <c r="H79" s="39">
        <f>J79/(100+K79)*100</f>
        <v>0</v>
      </c>
      <c r="I79" s="39">
        <f>J79/(100+K79)*K79</f>
        <v>0</v>
      </c>
      <c r="J79" s="40"/>
      <c r="K79" s="1">
        <v>19</v>
      </c>
      <c r="M79" s="38"/>
    </row>
    <row r="80" spans="1:13" ht="12.75">
      <c r="A80" s="41"/>
      <c r="B80" s="1" t="s">
        <v>104</v>
      </c>
      <c r="C80" s="42">
        <v>68</v>
      </c>
      <c r="D80" s="42"/>
      <c r="F80" s="43"/>
      <c r="G80" s="38"/>
      <c r="H80" s="39">
        <f>J80/(100+K80)*100</f>
        <v>0</v>
      </c>
      <c r="I80" s="39">
        <f>J80/(100+K80)*K80</f>
        <v>0</v>
      </c>
      <c r="J80" s="40"/>
      <c r="K80" s="1">
        <v>19</v>
      </c>
      <c r="M80" s="38"/>
    </row>
    <row r="81" spans="1:13" ht="12.75">
      <c r="A81" s="41"/>
      <c r="B81" s="1" t="s">
        <v>104</v>
      </c>
      <c r="C81" s="42">
        <v>69</v>
      </c>
      <c r="D81" s="42"/>
      <c r="F81" s="43"/>
      <c r="G81" s="38"/>
      <c r="H81" s="39">
        <f>J81/(100+K81)*100</f>
        <v>0</v>
      </c>
      <c r="I81" s="39">
        <f>J81/(100+K81)*K81</f>
        <v>0</v>
      </c>
      <c r="J81" s="40"/>
      <c r="K81" s="1">
        <v>19</v>
      </c>
      <c r="M81" s="38"/>
    </row>
    <row r="82" spans="1:13" ht="12.75">
      <c r="A82" s="41"/>
      <c r="B82" s="1" t="s">
        <v>104</v>
      </c>
      <c r="C82" s="42">
        <v>70</v>
      </c>
      <c r="D82" s="42"/>
      <c r="F82" s="43"/>
      <c r="G82" s="38"/>
      <c r="H82" s="39">
        <f>J82/(100+K82)*100</f>
        <v>0</v>
      </c>
      <c r="I82" s="39">
        <f>J82/(100+K82)*K82</f>
        <v>0</v>
      </c>
      <c r="J82" s="40"/>
      <c r="K82" s="1">
        <v>19</v>
      </c>
      <c r="M82" s="38"/>
    </row>
    <row r="83" spans="1:13" ht="12.75">
      <c r="A83" s="41"/>
      <c r="B83" s="1" t="s">
        <v>104</v>
      </c>
      <c r="C83" s="42">
        <v>71</v>
      </c>
      <c r="D83" s="42"/>
      <c r="F83" s="43"/>
      <c r="G83" s="38"/>
      <c r="H83" s="39">
        <f>J83/(100+K83)*100</f>
        <v>0</v>
      </c>
      <c r="I83" s="39">
        <f>J83/(100+K83)*K83</f>
        <v>0</v>
      </c>
      <c r="J83" s="40"/>
      <c r="K83" s="1">
        <v>19</v>
      </c>
      <c r="M83" s="38"/>
    </row>
    <row r="84" spans="1:13" ht="12.75">
      <c r="A84" s="41"/>
      <c r="B84" s="1" t="s">
        <v>104</v>
      </c>
      <c r="C84" s="42">
        <v>72</v>
      </c>
      <c r="D84" s="42"/>
      <c r="F84" s="43"/>
      <c r="G84" s="38"/>
      <c r="H84" s="39">
        <f>J84/(100+K84)*100</f>
        <v>0</v>
      </c>
      <c r="I84" s="39">
        <f>J84/(100+K84)*K84</f>
        <v>0</v>
      </c>
      <c r="J84" s="40"/>
      <c r="K84" s="1">
        <v>19</v>
      </c>
      <c r="M84" s="38"/>
    </row>
    <row r="85" spans="1:13" ht="12.75">
      <c r="A85" s="41"/>
      <c r="B85" s="1" t="s">
        <v>104</v>
      </c>
      <c r="C85" s="42">
        <v>73</v>
      </c>
      <c r="D85" s="42"/>
      <c r="F85" s="43"/>
      <c r="G85" s="38"/>
      <c r="H85" s="39">
        <f>J85/(100+K85)*100</f>
        <v>0</v>
      </c>
      <c r="I85" s="39">
        <f>J85/(100+K85)*K85</f>
        <v>0</v>
      </c>
      <c r="J85" s="40"/>
      <c r="K85" s="1">
        <v>19</v>
      </c>
      <c r="M85" s="38"/>
    </row>
    <row r="86" spans="1:13" ht="12.75">
      <c r="A86" s="41"/>
      <c r="B86" s="1" t="s">
        <v>104</v>
      </c>
      <c r="C86" s="42">
        <v>74</v>
      </c>
      <c r="D86" s="42"/>
      <c r="F86" s="43"/>
      <c r="G86" s="38"/>
      <c r="H86" s="39">
        <f>J86/(100+K86)*100</f>
        <v>0</v>
      </c>
      <c r="I86" s="39">
        <f>J86/(100+K86)*K86</f>
        <v>0</v>
      </c>
      <c r="J86" s="40"/>
      <c r="K86" s="1">
        <v>19</v>
      </c>
      <c r="M86" s="38"/>
    </row>
    <row r="87" spans="1:13" ht="12.75">
      <c r="A87" s="41"/>
      <c r="B87" s="1" t="s">
        <v>104</v>
      </c>
      <c r="C87" s="42">
        <v>75</v>
      </c>
      <c r="D87" s="42"/>
      <c r="F87" s="43"/>
      <c r="G87" s="38"/>
      <c r="H87" s="39">
        <f>J87/(100+K87)*100</f>
        <v>0</v>
      </c>
      <c r="I87" s="39">
        <f>J87/(100+K87)*K87</f>
        <v>0</v>
      </c>
      <c r="J87" s="40"/>
      <c r="K87" s="1">
        <v>19</v>
      </c>
      <c r="M87" s="38"/>
    </row>
    <row r="88" spans="1:13" ht="12.75">
      <c r="A88" s="41"/>
      <c r="B88" s="1" t="s">
        <v>104</v>
      </c>
      <c r="C88" s="42">
        <v>76</v>
      </c>
      <c r="D88" s="42"/>
      <c r="F88" s="43"/>
      <c r="G88" s="38"/>
      <c r="H88" s="39">
        <f>J88/(100+K88)*100</f>
        <v>0</v>
      </c>
      <c r="I88" s="39">
        <f>J88/(100+K88)*K88</f>
        <v>0</v>
      </c>
      <c r="J88" s="40"/>
      <c r="K88" s="1">
        <v>19</v>
      </c>
      <c r="M88" s="38"/>
    </row>
    <row r="89" spans="1:13" ht="12.75">
      <c r="A89" s="41"/>
      <c r="B89" s="1" t="s">
        <v>104</v>
      </c>
      <c r="C89" s="42">
        <v>77</v>
      </c>
      <c r="D89" s="42"/>
      <c r="F89" s="43"/>
      <c r="G89" s="38"/>
      <c r="H89" s="39">
        <f>J89/(100+K89)*100</f>
        <v>0</v>
      </c>
      <c r="I89" s="39">
        <f>J89/(100+K89)*K89</f>
        <v>0</v>
      </c>
      <c r="J89" s="40"/>
      <c r="K89" s="1">
        <v>19</v>
      </c>
      <c r="M89" s="38"/>
    </row>
    <row r="90" spans="1:13" ht="12.75">
      <c r="A90" s="41"/>
      <c r="B90" s="1" t="s">
        <v>104</v>
      </c>
      <c r="C90" s="42">
        <v>78</v>
      </c>
      <c r="D90" s="42"/>
      <c r="F90" s="43"/>
      <c r="G90" s="38"/>
      <c r="H90" s="39">
        <f>J90/(100+K90)*100</f>
        <v>0</v>
      </c>
      <c r="I90" s="39">
        <f>J90/(100+K90)*K90</f>
        <v>0</v>
      </c>
      <c r="J90" s="40"/>
      <c r="K90" s="1">
        <v>19</v>
      </c>
      <c r="M90" s="38"/>
    </row>
    <row r="91" spans="1:13" ht="12.75">
      <c r="A91" s="41"/>
      <c r="B91" s="1" t="s">
        <v>104</v>
      </c>
      <c r="C91" s="42">
        <v>79</v>
      </c>
      <c r="D91" s="42"/>
      <c r="F91" s="43"/>
      <c r="G91" s="38"/>
      <c r="H91" s="39">
        <f>J91/(100+K91)*100</f>
        <v>0</v>
      </c>
      <c r="I91" s="39">
        <f>J91/(100+K91)*K91</f>
        <v>0</v>
      </c>
      <c r="J91" s="40"/>
      <c r="K91" s="1">
        <v>19</v>
      </c>
      <c r="M91" s="38"/>
    </row>
    <row r="92" spans="1:13" ht="12.75">
      <c r="A92" s="41"/>
      <c r="B92" s="1" t="s">
        <v>104</v>
      </c>
      <c r="C92" s="42">
        <v>80</v>
      </c>
      <c r="D92" s="42"/>
      <c r="F92" s="43"/>
      <c r="G92" s="38"/>
      <c r="H92" s="39">
        <f>J92/(100+K92)*100</f>
        <v>0</v>
      </c>
      <c r="I92" s="39">
        <f>J92/(100+K92)*K92</f>
        <v>0</v>
      </c>
      <c r="J92" s="40"/>
      <c r="K92" s="1">
        <v>19</v>
      </c>
      <c r="M92" s="38"/>
    </row>
    <row r="93" spans="1:13" ht="12.75">
      <c r="A93" s="41"/>
      <c r="B93" s="1" t="s">
        <v>104</v>
      </c>
      <c r="C93" s="42">
        <v>81</v>
      </c>
      <c r="D93" s="42"/>
      <c r="F93" s="43"/>
      <c r="G93" s="38"/>
      <c r="H93" s="39">
        <f>J93/(100+K93)*100</f>
        <v>0</v>
      </c>
      <c r="I93" s="39">
        <f>J93/(100+K93)*K93</f>
        <v>0</v>
      </c>
      <c r="J93" s="40"/>
      <c r="K93" s="1">
        <v>19</v>
      </c>
      <c r="M93" s="38"/>
    </row>
    <row r="94" spans="1:13" ht="12.75">
      <c r="A94" s="41"/>
      <c r="B94" s="1" t="s">
        <v>104</v>
      </c>
      <c r="C94" s="42">
        <v>82</v>
      </c>
      <c r="D94" s="42"/>
      <c r="F94" s="43"/>
      <c r="G94" s="38"/>
      <c r="H94" s="39">
        <f>J94/(100+K94)*100</f>
        <v>0</v>
      </c>
      <c r="I94" s="39">
        <f>J94/(100+K94)*K94</f>
        <v>0</v>
      </c>
      <c r="J94" s="40"/>
      <c r="K94" s="1">
        <v>19</v>
      </c>
      <c r="M94" s="38"/>
    </row>
    <row r="95" spans="1:13" ht="12.75">
      <c r="A95" s="41"/>
      <c r="C95" s="37"/>
      <c r="D95" s="37"/>
      <c r="F95" s="43"/>
      <c r="G95" s="38"/>
      <c r="H95" s="47"/>
      <c r="I95" s="47"/>
      <c r="J95" s="38"/>
      <c r="M95" s="38"/>
    </row>
    <row r="96" spans="1:13" ht="12.75">
      <c r="A96" s="41" t="s">
        <v>106</v>
      </c>
      <c r="B96" s="48" t="s">
        <v>104</v>
      </c>
      <c r="C96" s="49"/>
      <c r="D96" s="49"/>
      <c r="E96" s="48"/>
      <c r="F96" s="50"/>
      <c r="G96" s="48"/>
      <c r="H96" s="51">
        <f>SUM(H13:H94)</f>
        <v>0</v>
      </c>
      <c r="I96" s="51">
        <f>SUM(I13:I94)</f>
        <v>0</v>
      </c>
      <c r="J96" s="48">
        <f>SUM(J13:J94)</f>
        <v>0</v>
      </c>
      <c r="K96" s="48"/>
      <c r="L96" s="52"/>
      <c r="M96" s="38"/>
    </row>
    <row r="97" spans="1:13" ht="12.75">
      <c r="A97" s="41"/>
      <c r="C97" s="37"/>
      <c r="D97" s="37"/>
      <c r="F97" s="43"/>
      <c r="G97" s="38"/>
      <c r="H97" s="47"/>
      <c r="I97" s="47"/>
      <c r="J97" s="38"/>
      <c r="M97" s="38"/>
    </row>
    <row r="98" spans="1:13" ht="12.75">
      <c r="A98" s="41"/>
      <c r="C98" s="37"/>
      <c r="D98" s="37"/>
      <c r="F98" s="43"/>
      <c r="G98" s="38"/>
      <c r="H98" s="47"/>
      <c r="I98" s="47"/>
      <c r="J98" s="38"/>
      <c r="M98" s="38"/>
    </row>
    <row r="99" spans="1:13" ht="12.75">
      <c r="A99" s="41" t="s">
        <v>107</v>
      </c>
      <c r="C99" s="37"/>
      <c r="D99" s="37"/>
      <c r="F99" s="43"/>
      <c r="G99" s="38"/>
      <c r="H99" s="47"/>
      <c r="I99" s="47"/>
      <c r="J99" s="38"/>
      <c r="M99" s="38"/>
    </row>
    <row r="100" spans="1:13" ht="12.75">
      <c r="A100" s="41"/>
      <c r="C100" s="37"/>
      <c r="D100" s="37"/>
      <c r="F100" s="43"/>
      <c r="G100" s="38"/>
      <c r="H100" s="47"/>
      <c r="I100" s="47"/>
      <c r="J100" s="38"/>
      <c r="M100" s="38"/>
    </row>
    <row r="101" spans="1:13" ht="12.75">
      <c r="A101" s="41"/>
      <c r="B101" s="1" t="s">
        <v>104</v>
      </c>
      <c r="C101" s="42">
        <v>300</v>
      </c>
      <c r="D101" s="16"/>
      <c r="F101" s="43"/>
      <c r="G101" s="38"/>
      <c r="H101" s="39">
        <f>J101/(100+K101)*100</f>
        <v>0</v>
      </c>
      <c r="I101" s="39">
        <f>J101/(100+K101)*K101</f>
        <v>0</v>
      </c>
      <c r="J101" s="40">
        <v>0</v>
      </c>
      <c r="K101" s="1">
        <v>19</v>
      </c>
      <c r="M101" s="38"/>
    </row>
    <row r="102" spans="1:13" ht="12.75">
      <c r="A102" s="53"/>
      <c r="B102" s="1" t="s">
        <v>104</v>
      </c>
      <c r="C102" s="42">
        <v>301</v>
      </c>
      <c r="D102" s="16">
        <v>14</v>
      </c>
      <c r="E102" s="1" t="s">
        <v>108</v>
      </c>
      <c r="F102" s="43"/>
      <c r="G102" s="38"/>
      <c r="H102" s="39">
        <f>J102/(100+K102)*100</f>
        <v>0</v>
      </c>
      <c r="I102" s="39">
        <f>J102/(100+K102)*K102</f>
        <v>0</v>
      </c>
      <c r="J102" s="40">
        <v>0</v>
      </c>
      <c r="K102" s="1">
        <v>19</v>
      </c>
      <c r="M102" s="38"/>
    </row>
    <row r="103" spans="1:13" ht="12.75">
      <c r="A103" s="41"/>
      <c r="B103" s="1" t="s">
        <v>104</v>
      </c>
      <c r="C103" s="42">
        <v>302</v>
      </c>
      <c r="D103" s="16">
        <v>14</v>
      </c>
      <c r="E103" s="1" t="s">
        <v>108</v>
      </c>
      <c r="F103" s="43"/>
      <c r="G103" s="38"/>
      <c r="H103" s="39">
        <f>J103/(100+K103)*100</f>
        <v>0</v>
      </c>
      <c r="I103" s="39">
        <f>J103/(100+K103)*K103</f>
        <v>0</v>
      </c>
      <c r="J103" s="40">
        <v>0</v>
      </c>
      <c r="K103" s="1">
        <v>19</v>
      </c>
      <c r="M103" s="38"/>
    </row>
    <row r="104" spans="1:13" ht="12.75">
      <c r="A104" s="41"/>
      <c r="B104" s="1" t="s">
        <v>104</v>
      </c>
      <c r="C104" s="42">
        <v>303</v>
      </c>
      <c r="D104" s="16">
        <v>14</v>
      </c>
      <c r="E104" s="1" t="s">
        <v>108</v>
      </c>
      <c r="F104" s="43"/>
      <c r="G104" s="38"/>
      <c r="H104" s="39">
        <f>J104/(100+K104)*100</f>
        <v>0</v>
      </c>
      <c r="I104" s="39">
        <f>J104/(100+K104)*K104</f>
        <v>0</v>
      </c>
      <c r="J104" s="40">
        <v>0</v>
      </c>
      <c r="K104" s="1">
        <v>19</v>
      </c>
      <c r="M104" s="38"/>
    </row>
    <row r="105" spans="1:13" ht="12.75">
      <c r="A105" s="41"/>
      <c r="B105" s="1" t="s">
        <v>104</v>
      </c>
      <c r="C105" s="42">
        <v>304</v>
      </c>
      <c r="D105" s="16">
        <v>14</v>
      </c>
      <c r="E105" s="1" t="s">
        <v>108</v>
      </c>
      <c r="F105" s="43"/>
      <c r="G105" s="38"/>
      <c r="H105" s="39">
        <f>J105/(100+K105)*100</f>
        <v>0</v>
      </c>
      <c r="I105" s="39">
        <f>J105/(100+K105)*K105</f>
        <v>0</v>
      </c>
      <c r="J105" s="40">
        <v>0</v>
      </c>
      <c r="K105" s="1">
        <v>19</v>
      </c>
      <c r="M105" s="38"/>
    </row>
    <row r="106" spans="1:13" ht="12.75">
      <c r="A106" s="41"/>
      <c r="B106" s="1" t="s">
        <v>104</v>
      </c>
      <c r="C106" s="42">
        <v>305</v>
      </c>
      <c r="D106" s="16">
        <v>14</v>
      </c>
      <c r="E106" s="1" t="s">
        <v>108</v>
      </c>
      <c r="F106" s="43"/>
      <c r="G106" s="38"/>
      <c r="H106" s="39">
        <f>J106/(100+K106)*100</f>
        <v>0</v>
      </c>
      <c r="I106" s="39">
        <f>J106/(100+K106)*K106</f>
        <v>0</v>
      </c>
      <c r="J106" s="40">
        <v>0</v>
      </c>
      <c r="K106" s="1">
        <v>19</v>
      </c>
      <c r="M106" s="38"/>
    </row>
    <row r="107" spans="1:13" ht="12.75">
      <c r="A107" s="41"/>
      <c r="B107" s="1" t="s">
        <v>104</v>
      </c>
      <c r="C107" s="42">
        <v>306</v>
      </c>
      <c r="D107" s="16">
        <v>14</v>
      </c>
      <c r="E107" s="1" t="s">
        <v>108</v>
      </c>
      <c r="F107" s="43"/>
      <c r="G107" s="38"/>
      <c r="H107" s="39">
        <f>J107/(100+K107)*100</f>
        <v>0</v>
      </c>
      <c r="I107" s="39">
        <f>J107/(100+K107)*K107</f>
        <v>0</v>
      </c>
      <c r="J107" s="40">
        <v>0</v>
      </c>
      <c r="K107" s="1">
        <v>19</v>
      </c>
      <c r="M107" s="38"/>
    </row>
    <row r="108" spans="1:13" ht="12.75">
      <c r="A108" s="41"/>
      <c r="B108" s="1" t="s">
        <v>104</v>
      </c>
      <c r="C108" s="42">
        <v>307</v>
      </c>
      <c r="D108" s="16">
        <v>14</v>
      </c>
      <c r="E108" s="1" t="s">
        <v>108</v>
      </c>
      <c r="F108" s="43"/>
      <c r="G108" s="38"/>
      <c r="H108" s="39">
        <f>J108/(100+K108)*100</f>
        <v>0</v>
      </c>
      <c r="I108" s="39">
        <f>J108/(100+K108)*K108</f>
        <v>0</v>
      </c>
      <c r="J108" s="40">
        <v>0</v>
      </c>
      <c r="K108" s="1">
        <v>19</v>
      </c>
      <c r="M108" s="38"/>
    </row>
    <row r="109" spans="1:13" ht="12.75">
      <c r="A109" s="41"/>
      <c r="B109" s="1" t="s">
        <v>104</v>
      </c>
      <c r="C109" s="42">
        <v>308</v>
      </c>
      <c r="D109" s="16">
        <v>14</v>
      </c>
      <c r="E109" s="1" t="s">
        <v>108</v>
      </c>
      <c r="F109" s="43"/>
      <c r="G109" s="38"/>
      <c r="H109" s="39">
        <f>J109/(100+K109)*100</f>
        <v>0</v>
      </c>
      <c r="I109" s="39">
        <f>J109/(100+K109)*K109</f>
        <v>0</v>
      </c>
      <c r="J109" s="40">
        <v>0</v>
      </c>
      <c r="K109" s="1">
        <v>19</v>
      </c>
      <c r="M109" s="38"/>
    </row>
    <row r="110" spans="1:13" ht="12.75">
      <c r="A110" s="41"/>
      <c r="B110" s="1" t="s">
        <v>104</v>
      </c>
      <c r="C110" s="42">
        <v>309</v>
      </c>
      <c r="D110" s="16">
        <v>14</v>
      </c>
      <c r="E110" s="1" t="s">
        <v>108</v>
      </c>
      <c r="F110" s="43"/>
      <c r="G110" s="38"/>
      <c r="H110" s="39">
        <f>J110/(100+K110)*100</f>
        <v>0</v>
      </c>
      <c r="I110" s="39">
        <f>J110/(100+K110)*K110</f>
        <v>0</v>
      </c>
      <c r="J110" s="40">
        <v>0</v>
      </c>
      <c r="K110" s="1">
        <v>19</v>
      </c>
      <c r="M110" s="38"/>
    </row>
    <row r="111" spans="1:13" ht="12.75">
      <c r="A111" s="41"/>
      <c r="B111" s="1" t="s">
        <v>104</v>
      </c>
      <c r="C111" s="42">
        <v>310</v>
      </c>
      <c r="D111" s="16">
        <v>14</v>
      </c>
      <c r="E111" s="1" t="s">
        <v>108</v>
      </c>
      <c r="F111" s="43"/>
      <c r="G111" s="38"/>
      <c r="H111" s="39">
        <f>J111/(100+K111)*100</f>
        <v>0</v>
      </c>
      <c r="I111" s="39">
        <f>J111/(100+K111)*K111</f>
        <v>0</v>
      </c>
      <c r="J111" s="40">
        <v>0</v>
      </c>
      <c r="K111" s="1">
        <v>19</v>
      </c>
      <c r="M111" s="38"/>
    </row>
    <row r="112" spans="1:13" ht="12.75">
      <c r="A112" s="41"/>
      <c r="B112" s="1" t="s">
        <v>104</v>
      </c>
      <c r="C112" s="42">
        <v>311</v>
      </c>
      <c r="D112" s="16">
        <v>14</v>
      </c>
      <c r="E112" s="1" t="s">
        <v>108</v>
      </c>
      <c r="F112" s="43"/>
      <c r="H112" s="39">
        <f>J112/(100+K112)*100</f>
        <v>0</v>
      </c>
      <c r="I112" s="39">
        <f>J112/(100+K112)*K112</f>
        <v>0</v>
      </c>
      <c r="J112" s="40">
        <v>0</v>
      </c>
      <c r="K112" s="1">
        <v>19</v>
      </c>
      <c r="M112" s="38"/>
    </row>
    <row r="113" spans="1:13" ht="12.75">
      <c r="A113" s="41"/>
      <c r="B113" s="1" t="s">
        <v>104</v>
      </c>
      <c r="C113" s="42">
        <v>312</v>
      </c>
      <c r="D113" s="16">
        <v>14</v>
      </c>
      <c r="E113" s="1" t="s">
        <v>108</v>
      </c>
      <c r="F113" s="43"/>
      <c r="G113" s="38"/>
      <c r="H113" s="39">
        <f>J113/(100+K113)*100</f>
        <v>0</v>
      </c>
      <c r="I113" s="39">
        <f>J113/(100+K113)*K113</f>
        <v>0</v>
      </c>
      <c r="J113" s="40">
        <v>0</v>
      </c>
      <c r="K113" s="1">
        <v>19</v>
      </c>
      <c r="M113" s="38"/>
    </row>
    <row r="114" spans="1:13" ht="12.75">
      <c r="A114" s="41"/>
      <c r="B114" s="1" t="s">
        <v>104</v>
      </c>
      <c r="C114" s="42">
        <v>313</v>
      </c>
      <c r="D114" s="16">
        <v>14</v>
      </c>
      <c r="E114" s="1" t="s">
        <v>108</v>
      </c>
      <c r="F114" s="43"/>
      <c r="G114" s="38"/>
      <c r="H114" s="39">
        <f>J114/(100+K114)*100</f>
        <v>0</v>
      </c>
      <c r="I114" s="39">
        <f>J114/(100+K114)*K114</f>
        <v>0</v>
      </c>
      <c r="J114" s="40">
        <v>0</v>
      </c>
      <c r="K114" s="1">
        <v>19</v>
      </c>
      <c r="M114" s="38"/>
    </row>
    <row r="115" spans="1:13" ht="12.75">
      <c r="A115" s="41"/>
      <c r="B115" s="1" t="s">
        <v>104</v>
      </c>
      <c r="C115" s="42">
        <v>314</v>
      </c>
      <c r="D115" s="16">
        <v>14</v>
      </c>
      <c r="E115" s="1" t="s">
        <v>108</v>
      </c>
      <c r="F115" s="43"/>
      <c r="G115" s="38"/>
      <c r="H115" s="39">
        <f>J115/(100+K115)*100</f>
        <v>0</v>
      </c>
      <c r="I115" s="39">
        <f>J115/(100+K115)*K115</f>
        <v>0</v>
      </c>
      <c r="J115" s="40">
        <v>0</v>
      </c>
      <c r="K115" s="1">
        <v>19</v>
      </c>
      <c r="M115" s="38"/>
    </row>
    <row r="116" spans="1:13" ht="12.75">
      <c r="A116" s="41"/>
      <c r="B116" s="1" t="s">
        <v>104</v>
      </c>
      <c r="C116" s="42">
        <v>315</v>
      </c>
      <c r="D116" s="16">
        <v>14</v>
      </c>
      <c r="E116" s="1" t="s">
        <v>108</v>
      </c>
      <c r="F116" s="43"/>
      <c r="H116" s="39">
        <f>J116/(100+K116)*100</f>
        <v>0</v>
      </c>
      <c r="I116" s="39">
        <f>J116/(100+K116)*K116</f>
        <v>0</v>
      </c>
      <c r="J116" s="40">
        <v>0</v>
      </c>
      <c r="K116" s="1">
        <v>19</v>
      </c>
      <c r="M116" s="38"/>
    </row>
    <row r="117" spans="1:13" ht="12.75">
      <c r="A117" s="41"/>
      <c r="B117" s="1" t="s">
        <v>104</v>
      </c>
      <c r="C117" s="42">
        <v>316</v>
      </c>
      <c r="D117" s="16">
        <v>14</v>
      </c>
      <c r="E117" s="1" t="s">
        <v>108</v>
      </c>
      <c r="F117" s="43"/>
      <c r="G117" s="38"/>
      <c r="H117" s="39">
        <f>J117/(100+K117)*100</f>
        <v>0</v>
      </c>
      <c r="I117" s="39">
        <f>J117/(100+K117)*K117</f>
        <v>0</v>
      </c>
      <c r="J117" s="40">
        <v>0</v>
      </c>
      <c r="K117" s="1">
        <v>19</v>
      </c>
      <c r="M117" s="38"/>
    </row>
    <row r="118" spans="1:13" ht="12.75">
      <c r="A118" s="41"/>
      <c r="B118" s="1" t="s">
        <v>104</v>
      </c>
      <c r="C118" s="42">
        <v>317</v>
      </c>
      <c r="D118" s="16">
        <v>14</v>
      </c>
      <c r="E118" s="1" t="s">
        <v>108</v>
      </c>
      <c r="F118" s="43"/>
      <c r="G118" s="38"/>
      <c r="H118" s="39">
        <f>J118/(100+K118)*100</f>
        <v>0</v>
      </c>
      <c r="I118" s="39">
        <f>J118/(100+K118)*K118</f>
        <v>0</v>
      </c>
      <c r="J118" s="40">
        <v>0</v>
      </c>
      <c r="K118" s="1">
        <v>19</v>
      </c>
      <c r="M118" s="38"/>
    </row>
    <row r="119" spans="1:13" ht="12.75">
      <c r="A119" s="41"/>
      <c r="B119" s="1" t="s">
        <v>104</v>
      </c>
      <c r="C119" s="42">
        <v>318</v>
      </c>
      <c r="D119" s="16">
        <v>14</v>
      </c>
      <c r="E119" s="1" t="s">
        <v>108</v>
      </c>
      <c r="F119" s="43"/>
      <c r="G119" s="46"/>
      <c r="H119" s="39">
        <f>J119/(100+K119)*100</f>
        <v>0</v>
      </c>
      <c r="I119" s="39">
        <f>J119/(100+K119)*K119</f>
        <v>0</v>
      </c>
      <c r="J119" s="40">
        <v>0</v>
      </c>
      <c r="K119" s="1">
        <v>19</v>
      </c>
      <c r="M119" s="38"/>
    </row>
    <row r="120" spans="1:13" ht="12.75">
      <c r="A120" s="41"/>
      <c r="B120" s="1" t="s">
        <v>104</v>
      </c>
      <c r="C120" s="42">
        <v>319</v>
      </c>
      <c r="D120" s="16">
        <v>14</v>
      </c>
      <c r="E120" s="1" t="s">
        <v>108</v>
      </c>
      <c r="F120" s="43"/>
      <c r="G120" s="38"/>
      <c r="H120" s="39">
        <f>J120/(100+K120)*100</f>
        <v>0</v>
      </c>
      <c r="I120" s="39">
        <f>J120/(100+K120)*K120</f>
        <v>0</v>
      </c>
      <c r="J120" s="40">
        <v>0</v>
      </c>
      <c r="K120" s="1">
        <v>19</v>
      </c>
      <c r="M120" s="38"/>
    </row>
    <row r="121" spans="1:13" ht="12.75">
      <c r="A121" s="41"/>
      <c r="B121" s="1" t="s">
        <v>104</v>
      </c>
      <c r="C121" s="42">
        <v>320</v>
      </c>
      <c r="D121" s="16">
        <v>14</v>
      </c>
      <c r="E121" s="1" t="s">
        <v>108</v>
      </c>
      <c r="F121" s="43"/>
      <c r="G121" s="38"/>
      <c r="H121" s="39">
        <f>J121/(100+K121)*100</f>
        <v>0</v>
      </c>
      <c r="I121" s="39">
        <f>J121/(100+K121)*K121</f>
        <v>0</v>
      </c>
      <c r="J121" s="40">
        <v>0</v>
      </c>
      <c r="K121" s="1">
        <v>19</v>
      </c>
      <c r="M121" s="38"/>
    </row>
    <row r="122" spans="1:13" ht="12.75">
      <c r="A122" s="41"/>
      <c r="B122" s="1" t="s">
        <v>104</v>
      </c>
      <c r="C122" s="42">
        <v>321</v>
      </c>
      <c r="D122" s="16">
        <v>14</v>
      </c>
      <c r="E122" s="1" t="s">
        <v>108</v>
      </c>
      <c r="F122" s="43"/>
      <c r="G122" s="38"/>
      <c r="H122" s="39">
        <f>J122/(100+K122)*100</f>
        <v>0</v>
      </c>
      <c r="I122" s="39">
        <f>J122/(100+K122)*K122</f>
        <v>0</v>
      </c>
      <c r="J122" s="40">
        <v>0</v>
      </c>
      <c r="K122" s="1">
        <v>19</v>
      </c>
      <c r="M122" s="38"/>
    </row>
    <row r="123" spans="1:13" ht="12.75">
      <c r="A123" s="41"/>
      <c r="B123" s="1" t="s">
        <v>104</v>
      </c>
      <c r="C123" s="42">
        <v>322</v>
      </c>
      <c r="D123" s="16">
        <v>14</v>
      </c>
      <c r="E123" s="1" t="s">
        <v>108</v>
      </c>
      <c r="F123" s="43"/>
      <c r="G123" s="38"/>
      <c r="H123" s="39">
        <f>J123/(100+K123)*100</f>
        <v>0</v>
      </c>
      <c r="I123" s="39">
        <f>J123/(100+K123)*K123</f>
        <v>0</v>
      </c>
      <c r="J123" s="40">
        <v>0</v>
      </c>
      <c r="K123" s="1">
        <v>19</v>
      </c>
      <c r="M123" s="38"/>
    </row>
    <row r="124" spans="1:13" ht="12.75">
      <c r="A124" s="41"/>
      <c r="B124" s="1" t="s">
        <v>104</v>
      </c>
      <c r="C124" s="42">
        <v>323</v>
      </c>
      <c r="D124" s="16">
        <v>14</v>
      </c>
      <c r="E124" s="1" t="s">
        <v>108</v>
      </c>
      <c r="F124" s="43"/>
      <c r="G124" s="38"/>
      <c r="H124" s="39">
        <f>J124/(100+K124)*100</f>
        <v>0</v>
      </c>
      <c r="I124" s="39">
        <f>J124/(100+K124)*K124</f>
        <v>0</v>
      </c>
      <c r="J124" s="40">
        <v>0</v>
      </c>
      <c r="K124" s="1">
        <v>19</v>
      </c>
      <c r="M124" s="38"/>
    </row>
    <row r="125" spans="1:13" ht="12.75">
      <c r="A125" s="41"/>
      <c r="B125" s="1" t="s">
        <v>104</v>
      </c>
      <c r="C125" s="42">
        <v>324</v>
      </c>
      <c r="D125" s="16">
        <v>14</v>
      </c>
      <c r="E125" s="1" t="s">
        <v>108</v>
      </c>
      <c r="F125" s="43"/>
      <c r="G125" s="38"/>
      <c r="H125" s="39">
        <f>J125/(100+K125)*100</f>
        <v>0</v>
      </c>
      <c r="I125" s="39">
        <f>J125/(100+K125)*K125</f>
        <v>0</v>
      </c>
      <c r="J125" s="40">
        <v>0</v>
      </c>
      <c r="K125" s="1">
        <v>19</v>
      </c>
      <c r="M125" s="38"/>
    </row>
    <row r="126" spans="1:13" ht="12.75">
      <c r="A126" s="41"/>
      <c r="B126" s="1" t="s">
        <v>104</v>
      </c>
      <c r="C126" s="42">
        <v>325</v>
      </c>
      <c r="D126" s="16">
        <v>14</v>
      </c>
      <c r="E126" s="1" t="s">
        <v>108</v>
      </c>
      <c r="F126" s="43"/>
      <c r="G126" s="38"/>
      <c r="H126" s="39">
        <f>J126/(100+K126)*100</f>
        <v>0</v>
      </c>
      <c r="I126" s="39">
        <f>J126/(100+K126)*K126</f>
        <v>0</v>
      </c>
      <c r="J126" s="40">
        <v>0</v>
      </c>
      <c r="K126" s="1">
        <v>19</v>
      </c>
      <c r="M126" s="38"/>
    </row>
    <row r="127" spans="1:13" ht="12.75">
      <c r="A127" s="41"/>
      <c r="B127" s="1" t="s">
        <v>104</v>
      </c>
      <c r="C127" s="42">
        <v>326</v>
      </c>
      <c r="D127" s="16">
        <v>14</v>
      </c>
      <c r="E127" s="1" t="s">
        <v>108</v>
      </c>
      <c r="F127" s="43"/>
      <c r="G127" s="38"/>
      <c r="H127" s="39">
        <f>J127/(100+K127)*100</f>
        <v>0</v>
      </c>
      <c r="I127" s="39">
        <f>J127/(100+K127)*K127</f>
        <v>0</v>
      </c>
      <c r="J127" s="40">
        <v>0</v>
      </c>
      <c r="K127" s="1">
        <v>19</v>
      </c>
      <c r="M127" s="38"/>
    </row>
    <row r="128" spans="1:13" ht="12.75">
      <c r="A128" s="41"/>
      <c r="B128" s="1" t="s">
        <v>104</v>
      </c>
      <c r="C128" s="42">
        <v>327</v>
      </c>
      <c r="D128" s="16">
        <v>14</v>
      </c>
      <c r="E128" s="1" t="s">
        <v>108</v>
      </c>
      <c r="F128" s="43"/>
      <c r="G128" s="38"/>
      <c r="H128" s="39">
        <f>J128/(100+K128)*100</f>
        <v>0</v>
      </c>
      <c r="I128" s="39">
        <f>J128/(100+K128)*K128</f>
        <v>0</v>
      </c>
      <c r="J128" s="40">
        <v>0</v>
      </c>
      <c r="K128" s="1">
        <v>19</v>
      </c>
      <c r="M128" s="38"/>
    </row>
    <row r="129" spans="1:13" ht="12.75">
      <c r="A129" s="41"/>
      <c r="B129" s="1" t="s">
        <v>104</v>
      </c>
      <c r="C129" s="42">
        <v>328</v>
      </c>
      <c r="D129" s="16">
        <v>14</v>
      </c>
      <c r="E129" s="1" t="s">
        <v>108</v>
      </c>
      <c r="F129" s="43"/>
      <c r="G129" s="54"/>
      <c r="H129" s="39">
        <f>J129/(100+K129)*100</f>
        <v>0</v>
      </c>
      <c r="I129" s="39">
        <f>J129/(100+K129)*K129</f>
        <v>0</v>
      </c>
      <c r="J129" s="40">
        <v>0</v>
      </c>
      <c r="K129" s="1">
        <v>19</v>
      </c>
      <c r="M129" s="38"/>
    </row>
    <row r="130" spans="1:13" ht="12.75">
      <c r="A130" s="41"/>
      <c r="B130" s="1" t="s">
        <v>104</v>
      </c>
      <c r="C130" s="42">
        <v>329</v>
      </c>
      <c r="D130" s="16">
        <v>14</v>
      </c>
      <c r="E130" s="1" t="s">
        <v>108</v>
      </c>
      <c r="F130" s="43"/>
      <c r="G130" s="38"/>
      <c r="H130" s="39">
        <f>J130/(100+K130)*100</f>
        <v>0</v>
      </c>
      <c r="I130" s="39">
        <f>J130/(100+K130)*K130</f>
        <v>0</v>
      </c>
      <c r="J130" s="40">
        <v>0</v>
      </c>
      <c r="K130" s="1">
        <v>19</v>
      </c>
      <c r="M130" s="38"/>
    </row>
    <row r="131" spans="1:13" ht="12.75">
      <c r="A131" s="41"/>
      <c r="B131" s="1" t="s">
        <v>104</v>
      </c>
      <c r="C131" s="42">
        <v>330</v>
      </c>
      <c r="D131" s="16">
        <v>14</v>
      </c>
      <c r="E131" s="1" t="s">
        <v>108</v>
      </c>
      <c r="F131" s="43"/>
      <c r="G131" s="38"/>
      <c r="H131" s="39">
        <f>J131/(100+K131)*100</f>
        <v>0</v>
      </c>
      <c r="I131" s="39">
        <f>J131/(100+K131)*K131</f>
        <v>0</v>
      </c>
      <c r="J131" s="40">
        <v>0</v>
      </c>
      <c r="K131" s="1">
        <v>19</v>
      </c>
      <c r="M131" s="38"/>
    </row>
    <row r="132" spans="1:13" ht="12.75">
      <c r="A132" s="41"/>
      <c r="B132" s="1" t="s">
        <v>104</v>
      </c>
      <c r="C132" s="42">
        <v>331</v>
      </c>
      <c r="D132" s="16">
        <v>14</v>
      </c>
      <c r="E132" s="1" t="s">
        <v>108</v>
      </c>
      <c r="F132" s="43"/>
      <c r="G132" s="46"/>
      <c r="H132" s="39">
        <f>J132/(100+K132)*100</f>
        <v>0</v>
      </c>
      <c r="I132" s="39">
        <f>J132/(100+K132)*K132</f>
        <v>0</v>
      </c>
      <c r="J132" s="40">
        <v>0</v>
      </c>
      <c r="K132" s="1">
        <v>19</v>
      </c>
      <c r="M132" s="38"/>
    </row>
    <row r="133" spans="1:13" ht="12.75">
      <c r="A133" s="41"/>
      <c r="B133" s="1" t="s">
        <v>104</v>
      </c>
      <c r="C133" s="42">
        <v>332</v>
      </c>
      <c r="D133" s="16">
        <v>14</v>
      </c>
      <c r="E133" s="1" t="s">
        <v>108</v>
      </c>
      <c r="F133" s="43"/>
      <c r="G133" s="55"/>
      <c r="H133" s="39">
        <f>J133/(100+K133)*100</f>
        <v>0</v>
      </c>
      <c r="I133" s="39">
        <f>J133/(100+K133)*K133</f>
        <v>0</v>
      </c>
      <c r="J133" s="40">
        <v>0</v>
      </c>
      <c r="K133" s="1">
        <v>19</v>
      </c>
      <c r="M133" s="38"/>
    </row>
    <row r="134" spans="1:13" ht="12.75">
      <c r="A134" s="41"/>
      <c r="B134" s="1" t="s">
        <v>104</v>
      </c>
      <c r="C134" s="42">
        <v>333</v>
      </c>
      <c r="D134" s="16">
        <v>14</v>
      </c>
      <c r="E134" s="1" t="s">
        <v>108</v>
      </c>
      <c r="F134" s="43"/>
      <c r="G134" s="55"/>
      <c r="H134" s="39">
        <f>J134/(100+K134)*100</f>
        <v>0</v>
      </c>
      <c r="I134" s="39">
        <f>J134/(100+K134)*K134</f>
        <v>0</v>
      </c>
      <c r="J134" s="40">
        <v>0</v>
      </c>
      <c r="K134" s="1">
        <v>19</v>
      </c>
      <c r="M134" s="38"/>
    </row>
    <row r="135" spans="1:13" ht="12.75">
      <c r="A135" s="41"/>
      <c r="B135" s="1" t="s">
        <v>104</v>
      </c>
      <c r="C135" s="42">
        <v>334</v>
      </c>
      <c r="D135" s="16">
        <v>14</v>
      </c>
      <c r="E135" s="1" t="s">
        <v>108</v>
      </c>
      <c r="F135" s="43"/>
      <c r="G135" s="38"/>
      <c r="H135" s="39">
        <f>J135/(100+K135)*100</f>
        <v>0</v>
      </c>
      <c r="I135" s="39">
        <f>J135/(100+K135)*K135</f>
        <v>0</v>
      </c>
      <c r="J135" s="40">
        <v>0</v>
      </c>
      <c r="K135" s="1">
        <v>19</v>
      </c>
      <c r="M135" s="38"/>
    </row>
    <row r="136" spans="1:13" ht="12.75">
      <c r="A136" s="41"/>
      <c r="B136" s="1" t="s">
        <v>104</v>
      </c>
      <c r="C136" s="42">
        <v>335</v>
      </c>
      <c r="D136" s="16">
        <v>14</v>
      </c>
      <c r="E136" s="1" t="s">
        <v>108</v>
      </c>
      <c r="F136" s="43"/>
      <c r="G136" s="38"/>
      <c r="H136" s="39">
        <f>J136/(100+K136)*100</f>
        <v>0</v>
      </c>
      <c r="I136" s="39">
        <f>J136/(100+K136)*K136</f>
        <v>0</v>
      </c>
      <c r="J136" s="40">
        <v>0</v>
      </c>
      <c r="K136" s="1">
        <v>19</v>
      </c>
      <c r="M136" s="38"/>
    </row>
    <row r="137" spans="1:13" ht="12.75">
      <c r="A137" s="41"/>
      <c r="B137" s="1" t="s">
        <v>104</v>
      </c>
      <c r="C137" s="42">
        <v>336</v>
      </c>
      <c r="D137" s="56">
        <v>14</v>
      </c>
      <c r="E137" s="1" t="s">
        <v>108</v>
      </c>
      <c r="F137" s="43"/>
      <c r="G137" s="46"/>
      <c r="H137" s="39">
        <f>J137/(100+K137)*100</f>
        <v>0</v>
      </c>
      <c r="I137" s="39">
        <f>J137/(100+K137)*K137</f>
        <v>0</v>
      </c>
      <c r="J137" s="40">
        <v>0</v>
      </c>
      <c r="K137" s="1">
        <v>19</v>
      </c>
      <c r="M137" s="38"/>
    </row>
    <row r="138" spans="1:13" ht="12.75">
      <c r="A138" s="41"/>
      <c r="B138" s="1" t="s">
        <v>104</v>
      </c>
      <c r="C138" s="42">
        <v>337</v>
      </c>
      <c r="D138" s="16">
        <v>14</v>
      </c>
      <c r="E138" s="1" t="s">
        <v>108</v>
      </c>
      <c r="F138" s="43"/>
      <c r="G138" s="46"/>
      <c r="H138" s="39">
        <f>J138/(100+K138)*100</f>
        <v>0</v>
      </c>
      <c r="I138" s="39">
        <f>J138/(100+K138)*K138</f>
        <v>0</v>
      </c>
      <c r="J138" s="40">
        <v>0</v>
      </c>
      <c r="K138" s="1">
        <v>19</v>
      </c>
      <c r="M138" s="38"/>
    </row>
    <row r="139" spans="1:13" ht="12.75">
      <c r="A139" s="41"/>
      <c r="B139" s="1" t="s">
        <v>104</v>
      </c>
      <c r="C139" s="42">
        <v>338</v>
      </c>
      <c r="D139" s="16">
        <v>14</v>
      </c>
      <c r="E139" s="1" t="s">
        <v>108</v>
      </c>
      <c r="F139" s="43"/>
      <c r="G139" s="38"/>
      <c r="H139" s="39">
        <f>J139/(100+K139)*100</f>
        <v>0</v>
      </c>
      <c r="I139" s="39">
        <f>J139/(100+K139)*K139</f>
        <v>0</v>
      </c>
      <c r="J139" s="40">
        <v>0</v>
      </c>
      <c r="K139" s="1">
        <v>19</v>
      </c>
      <c r="M139" s="38"/>
    </row>
    <row r="140" spans="1:13" ht="12.75">
      <c r="A140" s="41"/>
      <c r="B140" s="1" t="s">
        <v>104</v>
      </c>
      <c r="C140" s="42">
        <v>339</v>
      </c>
      <c r="D140" s="16">
        <v>14</v>
      </c>
      <c r="E140" s="1" t="s">
        <v>108</v>
      </c>
      <c r="F140" s="43"/>
      <c r="G140" s="38"/>
      <c r="H140" s="39">
        <f>J140/(100+K140)*100</f>
        <v>0</v>
      </c>
      <c r="I140" s="39">
        <f>J140/(100+K140)*K140</f>
        <v>0</v>
      </c>
      <c r="J140" s="40">
        <v>0</v>
      </c>
      <c r="K140" s="1">
        <v>19</v>
      </c>
      <c r="M140" s="38"/>
    </row>
    <row r="141" spans="1:13" ht="12.75">
      <c r="A141" s="41"/>
      <c r="B141" s="1" t="s">
        <v>104</v>
      </c>
      <c r="C141" s="42">
        <v>340</v>
      </c>
      <c r="D141" s="16">
        <v>14</v>
      </c>
      <c r="E141" s="1" t="s">
        <v>108</v>
      </c>
      <c r="F141" s="43"/>
      <c r="G141" s="38"/>
      <c r="H141" s="39">
        <f>J141/(100+K141)*100</f>
        <v>0</v>
      </c>
      <c r="I141" s="39">
        <f>J141/(100+K141)*K141</f>
        <v>0</v>
      </c>
      <c r="J141" s="40">
        <v>0</v>
      </c>
      <c r="K141" s="1">
        <v>19</v>
      </c>
      <c r="M141" s="38"/>
    </row>
    <row r="142" spans="1:13" ht="12.75">
      <c r="A142" s="41"/>
      <c r="B142" s="1" t="s">
        <v>104</v>
      </c>
      <c r="C142" s="42">
        <v>341</v>
      </c>
      <c r="D142" s="16">
        <v>14</v>
      </c>
      <c r="E142" s="1" t="s">
        <v>108</v>
      </c>
      <c r="F142" s="43"/>
      <c r="G142" s="38"/>
      <c r="H142" s="39">
        <f>J142/(100+K142)*100</f>
        <v>0</v>
      </c>
      <c r="I142" s="39">
        <f>J142/(100+K142)*K142</f>
        <v>0</v>
      </c>
      <c r="J142" s="40">
        <v>0</v>
      </c>
      <c r="K142" s="1">
        <v>19</v>
      </c>
      <c r="M142" s="38"/>
    </row>
    <row r="143" spans="1:13" ht="12.75">
      <c r="A143" s="41"/>
      <c r="B143" s="1" t="s">
        <v>104</v>
      </c>
      <c r="C143" s="42">
        <v>342</v>
      </c>
      <c r="D143" s="16">
        <v>14</v>
      </c>
      <c r="E143" s="1" t="s">
        <v>108</v>
      </c>
      <c r="F143" s="43"/>
      <c r="G143" s="38"/>
      <c r="H143" s="39">
        <f>J143/(100+K143)*100</f>
        <v>0</v>
      </c>
      <c r="I143" s="39">
        <f>J143/(100+K143)*K143</f>
        <v>0</v>
      </c>
      <c r="J143" s="40">
        <v>0</v>
      </c>
      <c r="K143" s="1">
        <v>19</v>
      </c>
      <c r="M143" s="38"/>
    </row>
    <row r="144" spans="1:13" ht="12.75">
      <c r="A144" s="41"/>
      <c r="B144" s="1" t="s">
        <v>104</v>
      </c>
      <c r="C144" s="42">
        <v>343</v>
      </c>
      <c r="D144" s="16">
        <v>14</v>
      </c>
      <c r="F144" s="43"/>
      <c r="G144" s="38"/>
      <c r="H144" s="39">
        <f>J144/(100+K144)*100</f>
        <v>0</v>
      </c>
      <c r="I144" s="39">
        <f>J144/(100+K144)*K144</f>
        <v>0</v>
      </c>
      <c r="J144" s="40">
        <v>0</v>
      </c>
      <c r="K144" s="1">
        <v>19</v>
      </c>
      <c r="M144" s="38"/>
    </row>
    <row r="145" spans="1:13" ht="12.75">
      <c r="A145" s="41"/>
      <c r="B145" s="1" t="s">
        <v>104</v>
      </c>
      <c r="C145" s="42">
        <v>344</v>
      </c>
      <c r="D145" s="16">
        <v>14</v>
      </c>
      <c r="F145" s="43"/>
      <c r="G145" s="38"/>
      <c r="H145" s="39">
        <f>J145/(100+K145)*100</f>
        <v>0</v>
      </c>
      <c r="I145" s="39">
        <f>J145/(100+K145)*K145</f>
        <v>0</v>
      </c>
      <c r="J145" s="40">
        <v>0</v>
      </c>
      <c r="K145" s="1">
        <v>19</v>
      </c>
      <c r="M145" s="38"/>
    </row>
    <row r="146" spans="1:13" ht="12.75">
      <c r="A146" s="41"/>
      <c r="B146" s="1" t="s">
        <v>104</v>
      </c>
      <c r="C146" s="42">
        <v>345</v>
      </c>
      <c r="D146" s="16">
        <v>14</v>
      </c>
      <c r="F146" s="43"/>
      <c r="G146" s="38"/>
      <c r="H146" s="39">
        <f>J146/(100+K146)*100</f>
        <v>0</v>
      </c>
      <c r="I146" s="39">
        <f>J146/(100+K146)*K146</f>
        <v>0</v>
      </c>
      <c r="J146" s="40">
        <v>0</v>
      </c>
      <c r="K146" s="1">
        <v>19</v>
      </c>
      <c r="M146" s="38"/>
    </row>
    <row r="147" spans="1:13" ht="12.75">
      <c r="A147" s="41"/>
      <c r="B147" s="1" t="s">
        <v>104</v>
      </c>
      <c r="C147" s="42">
        <v>346</v>
      </c>
      <c r="D147" s="16"/>
      <c r="F147" s="43"/>
      <c r="G147" s="38"/>
      <c r="H147" s="39">
        <f>J147/(100+K147)*100</f>
        <v>0</v>
      </c>
      <c r="I147" s="39">
        <f>J147/(100+K147)*K147</f>
        <v>0</v>
      </c>
      <c r="J147" s="40">
        <v>0</v>
      </c>
      <c r="K147" s="1">
        <v>19</v>
      </c>
      <c r="M147" s="38"/>
    </row>
    <row r="148" spans="1:13" ht="12.75">
      <c r="A148" s="41"/>
      <c r="B148" s="1" t="s">
        <v>104</v>
      </c>
      <c r="C148" s="42">
        <v>347</v>
      </c>
      <c r="D148" s="16"/>
      <c r="F148" s="43"/>
      <c r="G148" s="38"/>
      <c r="H148" s="39">
        <f>J148/(100+K148)*100</f>
        <v>0</v>
      </c>
      <c r="I148" s="39">
        <f>J148/(100+K148)*K148</f>
        <v>0</v>
      </c>
      <c r="J148" s="40">
        <v>0</v>
      </c>
      <c r="K148" s="1">
        <v>19</v>
      </c>
      <c r="M148" s="38"/>
    </row>
    <row r="149" spans="1:13" ht="12.75">
      <c r="A149" s="41"/>
      <c r="B149" s="1" t="s">
        <v>104</v>
      </c>
      <c r="C149" s="42">
        <v>348</v>
      </c>
      <c r="D149" s="16"/>
      <c r="F149" s="43"/>
      <c r="G149" s="38"/>
      <c r="H149" s="39">
        <f>J149/(100+K149)*100</f>
        <v>0</v>
      </c>
      <c r="I149" s="39">
        <f>J149/(100+K149)*K149</f>
        <v>0</v>
      </c>
      <c r="J149" s="40">
        <v>0</v>
      </c>
      <c r="K149" s="1">
        <v>19</v>
      </c>
      <c r="M149" s="38"/>
    </row>
    <row r="150" spans="1:13" ht="12.75">
      <c r="A150" s="41"/>
      <c r="B150" s="1" t="s">
        <v>104</v>
      </c>
      <c r="C150" s="42">
        <v>349</v>
      </c>
      <c r="D150" s="16"/>
      <c r="F150" s="43"/>
      <c r="G150" s="38"/>
      <c r="H150" s="39">
        <f>J150/(100+K150)*100</f>
        <v>0</v>
      </c>
      <c r="I150" s="39">
        <f>J150/(100+K150)*K150</f>
        <v>0</v>
      </c>
      <c r="J150" s="40">
        <v>0</v>
      </c>
      <c r="K150" s="1">
        <v>19</v>
      </c>
      <c r="M150" s="38"/>
    </row>
    <row r="151" spans="1:13" ht="12.75">
      <c r="A151" s="41"/>
      <c r="B151" s="1" t="s">
        <v>104</v>
      </c>
      <c r="C151" s="42">
        <v>350</v>
      </c>
      <c r="D151" s="16"/>
      <c r="F151" s="43"/>
      <c r="G151" s="38"/>
      <c r="H151" s="39">
        <f>J151/(100+K151)*100</f>
        <v>0</v>
      </c>
      <c r="I151" s="39">
        <f>J151/(100+K151)*K151</f>
        <v>0</v>
      </c>
      <c r="J151" s="40">
        <v>0</v>
      </c>
      <c r="K151" s="1">
        <v>19</v>
      </c>
      <c r="M151" s="38"/>
    </row>
    <row r="152" spans="1:13" ht="12.75">
      <c r="A152" s="41"/>
      <c r="B152" s="1" t="s">
        <v>104</v>
      </c>
      <c r="C152" s="42">
        <v>351</v>
      </c>
      <c r="D152" s="56"/>
      <c r="F152" s="43"/>
      <c r="G152" s="38"/>
      <c r="H152" s="39">
        <f>J152/(100+K152)*100</f>
        <v>0</v>
      </c>
      <c r="I152" s="39">
        <f>J152/(100+K152)*K152</f>
        <v>0</v>
      </c>
      <c r="J152" s="40">
        <v>0</v>
      </c>
      <c r="K152" s="1">
        <v>19</v>
      </c>
      <c r="M152" s="38"/>
    </row>
    <row r="153" spans="1:13" ht="12.75">
      <c r="A153" s="41"/>
      <c r="B153" s="1" t="s">
        <v>104</v>
      </c>
      <c r="C153" s="42">
        <v>352</v>
      </c>
      <c r="D153" s="16"/>
      <c r="F153" s="43"/>
      <c r="G153" s="38"/>
      <c r="H153" s="39">
        <f>J153/(100+K153)*100</f>
        <v>0</v>
      </c>
      <c r="I153" s="39">
        <f>J153/(100+K153)*K153</f>
        <v>0</v>
      </c>
      <c r="J153" s="40">
        <v>0</v>
      </c>
      <c r="K153" s="1">
        <v>19</v>
      </c>
      <c r="M153" s="38"/>
    </row>
    <row r="154" spans="1:13" ht="12.75">
      <c r="A154" s="41"/>
      <c r="B154" s="1" t="s">
        <v>104</v>
      </c>
      <c r="C154" s="42">
        <v>353</v>
      </c>
      <c r="D154" s="16"/>
      <c r="F154" s="43"/>
      <c r="G154" s="38"/>
      <c r="H154" s="39">
        <f>J154/(100+K154)*100</f>
        <v>0</v>
      </c>
      <c r="I154" s="39">
        <f>J154/(100+K154)*K154</f>
        <v>0</v>
      </c>
      <c r="J154" s="40">
        <v>0</v>
      </c>
      <c r="K154" s="1">
        <v>19</v>
      </c>
      <c r="M154" s="38"/>
    </row>
    <row r="155" spans="1:13" ht="12.75">
      <c r="A155" s="41"/>
      <c r="B155" s="1" t="s">
        <v>104</v>
      </c>
      <c r="C155" s="42">
        <v>354</v>
      </c>
      <c r="D155" s="16"/>
      <c r="F155" s="43"/>
      <c r="G155" s="38"/>
      <c r="H155" s="39">
        <f>J155/(100+K155)*100</f>
        <v>0</v>
      </c>
      <c r="I155" s="39">
        <f>J155/(100+K155)*K155</f>
        <v>0</v>
      </c>
      <c r="J155" s="40">
        <v>0</v>
      </c>
      <c r="K155" s="1">
        <v>19</v>
      </c>
      <c r="M155" s="38"/>
    </row>
    <row r="156" spans="1:13" ht="12.75">
      <c r="A156" s="41"/>
      <c r="B156" s="1" t="s">
        <v>104</v>
      </c>
      <c r="C156" s="42">
        <v>355</v>
      </c>
      <c r="D156" s="16"/>
      <c r="F156" s="43"/>
      <c r="G156" s="38"/>
      <c r="H156" s="39">
        <f>J156/(100+K156)*100</f>
        <v>0</v>
      </c>
      <c r="I156" s="39">
        <f>J156/(100+K156)*K156</f>
        <v>0</v>
      </c>
      <c r="J156" s="40"/>
      <c r="K156" s="1">
        <v>19</v>
      </c>
      <c r="M156" s="38"/>
    </row>
    <row r="157" spans="1:13" ht="12.75">
      <c r="A157" s="41"/>
      <c r="B157" s="1" t="s">
        <v>104</v>
      </c>
      <c r="C157" s="42">
        <v>356</v>
      </c>
      <c r="D157" s="56"/>
      <c r="F157" s="43"/>
      <c r="G157" s="38"/>
      <c r="H157" s="39">
        <f>J157/(100+K157)*100</f>
        <v>0</v>
      </c>
      <c r="I157" s="39">
        <f>J157/(100+K157)*K157</f>
        <v>0</v>
      </c>
      <c r="J157" s="40"/>
      <c r="K157" s="1">
        <v>19</v>
      </c>
      <c r="M157" s="38"/>
    </row>
    <row r="158" spans="1:13" ht="12.75">
      <c r="A158" s="41"/>
      <c r="B158" s="1" t="s">
        <v>104</v>
      </c>
      <c r="C158" s="42">
        <v>357</v>
      </c>
      <c r="D158" s="56"/>
      <c r="F158" s="43"/>
      <c r="G158" s="38"/>
      <c r="H158" s="39">
        <f>J158/(100+K158)*100</f>
        <v>0</v>
      </c>
      <c r="I158" s="39">
        <f>J158/(100+K158)*K158</f>
        <v>0</v>
      </c>
      <c r="J158" s="40"/>
      <c r="K158" s="1">
        <v>19</v>
      </c>
      <c r="M158" s="38"/>
    </row>
    <row r="159" spans="1:13" ht="12.75">
      <c r="A159" s="41"/>
      <c r="B159" s="1" t="s">
        <v>104</v>
      </c>
      <c r="C159" s="42">
        <v>358</v>
      </c>
      <c r="D159" s="56"/>
      <c r="F159" s="43"/>
      <c r="G159" s="38"/>
      <c r="H159" s="39">
        <f>J159/(100+K159)*100</f>
        <v>0</v>
      </c>
      <c r="I159" s="39">
        <f>J159/(100+K159)*K159</f>
        <v>0</v>
      </c>
      <c r="J159" s="40"/>
      <c r="K159" s="1">
        <v>19</v>
      </c>
      <c r="M159" s="38"/>
    </row>
    <row r="160" spans="1:13" ht="12.75">
      <c r="A160" s="41"/>
      <c r="B160" s="1" t="s">
        <v>104</v>
      </c>
      <c r="C160" s="42">
        <v>359</v>
      </c>
      <c r="D160" s="42"/>
      <c r="F160" s="43"/>
      <c r="G160" s="38"/>
      <c r="H160" s="39">
        <f>J160/(100+K160)*100</f>
        <v>0</v>
      </c>
      <c r="I160" s="39">
        <f>J160/(100+K160)*K160</f>
        <v>0</v>
      </c>
      <c r="J160" s="40"/>
      <c r="K160" s="1">
        <v>19</v>
      </c>
      <c r="M160" s="38"/>
    </row>
    <row r="161" spans="1:13" ht="12.75">
      <c r="A161" s="41"/>
      <c r="B161" s="1" t="s">
        <v>104</v>
      </c>
      <c r="C161" s="42">
        <v>360</v>
      </c>
      <c r="D161" s="42"/>
      <c r="F161" s="43"/>
      <c r="G161" s="38"/>
      <c r="H161" s="39">
        <f>J161/(100+K161)*100</f>
        <v>0</v>
      </c>
      <c r="I161" s="39">
        <f>J161/(100+K161)*K161</f>
        <v>0</v>
      </c>
      <c r="J161" s="40"/>
      <c r="K161" s="1">
        <v>19</v>
      </c>
      <c r="M161" s="38"/>
    </row>
    <row r="162" spans="1:13" ht="12.75">
      <c r="A162" s="41"/>
      <c r="B162" s="1" t="s">
        <v>104</v>
      </c>
      <c r="C162" s="42">
        <v>361</v>
      </c>
      <c r="D162" s="42"/>
      <c r="F162" s="43"/>
      <c r="G162" s="38"/>
      <c r="H162" s="39">
        <f>J162/(100+K162)*100</f>
        <v>0</v>
      </c>
      <c r="I162" s="39">
        <f>J162/(100+K162)*K162</f>
        <v>0</v>
      </c>
      <c r="J162" s="40"/>
      <c r="K162" s="1">
        <v>19</v>
      </c>
      <c r="M162" s="38"/>
    </row>
    <row r="163" spans="1:13" ht="12.75">
      <c r="A163" s="41"/>
      <c r="B163" s="1" t="s">
        <v>104</v>
      </c>
      <c r="C163" s="42">
        <v>362</v>
      </c>
      <c r="D163" s="42"/>
      <c r="F163" s="43"/>
      <c r="G163" s="38"/>
      <c r="H163" s="39">
        <f>J163/(100+K163)*100</f>
        <v>0</v>
      </c>
      <c r="I163" s="39">
        <f>J163/(100+K163)*K163</f>
        <v>0</v>
      </c>
      <c r="J163" s="40"/>
      <c r="K163" s="1">
        <v>19</v>
      </c>
      <c r="M163" s="38"/>
    </row>
    <row r="164" spans="1:13" ht="12.75">
      <c r="A164" s="41"/>
      <c r="B164" s="1" t="s">
        <v>104</v>
      </c>
      <c r="C164" s="42">
        <v>363</v>
      </c>
      <c r="D164" s="42"/>
      <c r="F164" s="43"/>
      <c r="G164" s="38"/>
      <c r="H164" s="39">
        <f>J164/(100+K164)*100</f>
        <v>0</v>
      </c>
      <c r="I164" s="39">
        <f>J164/(100+K164)*K164</f>
        <v>0</v>
      </c>
      <c r="J164" s="40"/>
      <c r="K164" s="1">
        <v>19</v>
      </c>
      <c r="M164" s="38"/>
    </row>
    <row r="165" spans="1:13" ht="12.75">
      <c r="A165" s="41"/>
      <c r="B165" s="1" t="s">
        <v>104</v>
      </c>
      <c r="C165" s="42">
        <v>364</v>
      </c>
      <c r="D165" s="42"/>
      <c r="F165" s="43"/>
      <c r="G165" s="38"/>
      <c r="H165" s="39">
        <f>J165/(100+K165)*100</f>
        <v>0</v>
      </c>
      <c r="I165" s="39">
        <f>J165/(100+K165)*K165</f>
        <v>0</v>
      </c>
      <c r="J165" s="40"/>
      <c r="K165" s="1">
        <v>19</v>
      </c>
      <c r="M165" s="38"/>
    </row>
    <row r="166" spans="1:13" ht="12.75">
      <c r="A166" s="41"/>
      <c r="B166" s="1" t="s">
        <v>104</v>
      </c>
      <c r="C166" s="42">
        <v>365</v>
      </c>
      <c r="D166" s="42"/>
      <c r="F166" s="43"/>
      <c r="G166" s="38"/>
      <c r="H166" s="39">
        <f>J166/(100+K166)*100</f>
        <v>0</v>
      </c>
      <c r="I166" s="39">
        <f>J166/(100+K166)*K166</f>
        <v>0</v>
      </c>
      <c r="J166" s="40"/>
      <c r="K166" s="1">
        <v>19</v>
      </c>
      <c r="M166" s="38"/>
    </row>
    <row r="167" spans="1:13" ht="12.75">
      <c r="A167" s="41"/>
      <c r="B167" s="1" t="s">
        <v>104</v>
      </c>
      <c r="C167" s="42">
        <v>366</v>
      </c>
      <c r="D167" s="42"/>
      <c r="F167" s="43"/>
      <c r="G167" s="38"/>
      <c r="H167" s="39">
        <f>J167/(100+K167)*100</f>
        <v>0</v>
      </c>
      <c r="I167" s="39">
        <f>J167/(100+K167)*K167</f>
        <v>0</v>
      </c>
      <c r="J167" s="40"/>
      <c r="K167" s="1">
        <v>19</v>
      </c>
      <c r="M167" s="38"/>
    </row>
    <row r="168" spans="1:13" ht="12.75">
      <c r="A168" s="41"/>
      <c r="B168" s="1" t="s">
        <v>104</v>
      </c>
      <c r="C168" s="42">
        <v>367</v>
      </c>
      <c r="D168" s="42"/>
      <c r="F168" s="43"/>
      <c r="G168" s="57"/>
      <c r="H168" s="39">
        <f>J168/(100+K168)*100</f>
        <v>0</v>
      </c>
      <c r="I168" s="39">
        <f>J168/(100+K168)*K168</f>
        <v>0</v>
      </c>
      <c r="J168" s="40"/>
      <c r="K168" s="1">
        <v>19</v>
      </c>
      <c r="M168" s="38"/>
    </row>
    <row r="169" spans="1:13" ht="12.75">
      <c r="A169" s="41"/>
      <c r="B169" s="1" t="s">
        <v>104</v>
      </c>
      <c r="C169" s="42">
        <v>368</v>
      </c>
      <c r="D169" s="42"/>
      <c r="F169" s="43"/>
      <c r="G169" s="38"/>
      <c r="H169" s="39">
        <f>J169/(100+K169)*100</f>
        <v>0</v>
      </c>
      <c r="I169" s="39">
        <f>J169/(100+K169)*K169</f>
        <v>0</v>
      </c>
      <c r="J169" s="40"/>
      <c r="K169" s="1">
        <v>19</v>
      </c>
      <c r="M169" s="38"/>
    </row>
    <row r="170" spans="1:13" ht="12.75">
      <c r="A170" s="41"/>
      <c r="B170" s="1" t="s">
        <v>104</v>
      </c>
      <c r="C170" s="42">
        <v>369</v>
      </c>
      <c r="D170" s="42"/>
      <c r="F170" s="43"/>
      <c r="G170" s="38"/>
      <c r="H170" s="39">
        <f>J170/(100+K170)*100</f>
        <v>0</v>
      </c>
      <c r="I170" s="39">
        <f>J170/(100+K170)*K170</f>
        <v>0</v>
      </c>
      <c r="J170" s="40"/>
      <c r="K170" s="1">
        <v>19</v>
      </c>
      <c r="M170" s="38"/>
    </row>
    <row r="171" spans="1:13" ht="12.75">
      <c r="A171" s="41"/>
      <c r="B171" s="1" t="s">
        <v>104</v>
      </c>
      <c r="C171" s="42">
        <v>370</v>
      </c>
      <c r="D171" s="42"/>
      <c r="F171" s="43"/>
      <c r="G171" s="38"/>
      <c r="H171" s="39">
        <f>J171/(100+K171)*100</f>
        <v>0</v>
      </c>
      <c r="I171" s="39">
        <f>J171/(100+K171)*K171</f>
        <v>0</v>
      </c>
      <c r="J171" s="40"/>
      <c r="K171" s="1">
        <v>19</v>
      </c>
      <c r="M171" s="38"/>
    </row>
    <row r="172" spans="1:13" ht="12.75">
      <c r="A172" s="41"/>
      <c r="B172" s="1" t="s">
        <v>104</v>
      </c>
      <c r="C172" s="42">
        <v>371</v>
      </c>
      <c r="D172" s="42"/>
      <c r="F172" s="43"/>
      <c r="G172" s="38"/>
      <c r="H172" s="39">
        <f>J172/(100+K172)*100</f>
        <v>0</v>
      </c>
      <c r="I172" s="39">
        <f>J172/(100+K172)*K172</f>
        <v>0</v>
      </c>
      <c r="J172" s="40"/>
      <c r="K172" s="1">
        <v>19</v>
      </c>
      <c r="M172" s="38"/>
    </row>
    <row r="173" spans="1:13" ht="12.75">
      <c r="A173" s="41"/>
      <c r="B173" s="1" t="s">
        <v>104</v>
      </c>
      <c r="C173" s="42">
        <v>372</v>
      </c>
      <c r="D173" s="42"/>
      <c r="F173" s="43"/>
      <c r="G173" s="38"/>
      <c r="H173" s="39">
        <f>J173/(100+K173)*100</f>
        <v>0</v>
      </c>
      <c r="I173" s="39">
        <f>J173/(100+K173)*K173</f>
        <v>0</v>
      </c>
      <c r="J173" s="40"/>
      <c r="K173" s="1">
        <v>19</v>
      </c>
      <c r="M173" s="38"/>
    </row>
    <row r="174" spans="1:13" ht="12.75">
      <c r="A174" s="41"/>
      <c r="B174" s="1" t="s">
        <v>104</v>
      </c>
      <c r="C174" s="42">
        <v>373</v>
      </c>
      <c r="D174" s="42"/>
      <c r="F174" s="43"/>
      <c r="G174" s="38"/>
      <c r="H174" s="39">
        <f>J174/(100+K174)*100</f>
        <v>0</v>
      </c>
      <c r="I174" s="39">
        <f>J174/(100+K174)*K174</f>
        <v>0</v>
      </c>
      <c r="J174" s="40"/>
      <c r="K174" s="1">
        <v>19</v>
      </c>
      <c r="M174" s="38"/>
    </row>
    <row r="175" spans="1:13" ht="12.75">
      <c r="A175" s="41"/>
      <c r="B175" s="1" t="s">
        <v>104</v>
      </c>
      <c r="C175" s="42">
        <v>374</v>
      </c>
      <c r="D175" s="42"/>
      <c r="F175" s="43"/>
      <c r="G175" s="38"/>
      <c r="H175" s="39">
        <f>J175/(100+K175)*100</f>
        <v>0</v>
      </c>
      <c r="I175" s="39">
        <f>J175/(100+K175)*K175</f>
        <v>0</v>
      </c>
      <c r="J175" s="40"/>
      <c r="K175" s="1">
        <v>19</v>
      </c>
      <c r="M175" s="38"/>
    </row>
    <row r="176" spans="1:13" ht="12.75">
      <c r="A176" s="41"/>
      <c r="B176" s="1" t="s">
        <v>104</v>
      </c>
      <c r="C176" s="42">
        <v>375</v>
      </c>
      <c r="D176" s="42"/>
      <c r="F176" s="43"/>
      <c r="G176" s="38"/>
      <c r="H176" s="39">
        <f>J176/(100+K176)*100</f>
        <v>0</v>
      </c>
      <c r="I176" s="39">
        <f>J176/(100+K176)*K176</f>
        <v>0</v>
      </c>
      <c r="J176" s="40"/>
      <c r="K176" s="1">
        <v>19</v>
      </c>
      <c r="M176" s="38"/>
    </row>
    <row r="177" spans="1:13" ht="12.75">
      <c r="A177" s="41"/>
      <c r="B177" s="1" t="s">
        <v>104</v>
      </c>
      <c r="C177" s="42">
        <v>376</v>
      </c>
      <c r="D177" s="42"/>
      <c r="F177" s="43"/>
      <c r="G177" s="38"/>
      <c r="H177" s="39">
        <f>J177/(100+K177)*100</f>
        <v>0</v>
      </c>
      <c r="I177" s="39">
        <f>J177/(100+K177)*K177</f>
        <v>0</v>
      </c>
      <c r="J177" s="40"/>
      <c r="K177" s="1">
        <v>19</v>
      </c>
      <c r="M177" s="38"/>
    </row>
    <row r="178" spans="1:13" ht="12.75">
      <c r="A178" s="41"/>
      <c r="B178" s="1" t="s">
        <v>104</v>
      </c>
      <c r="C178" s="42">
        <v>377</v>
      </c>
      <c r="D178" s="42"/>
      <c r="F178" s="43"/>
      <c r="G178" s="38"/>
      <c r="H178" s="39">
        <f>J178/(100+K178)*100</f>
        <v>0</v>
      </c>
      <c r="I178" s="39">
        <f>J178/(100+K178)*K178</f>
        <v>0</v>
      </c>
      <c r="J178" s="40"/>
      <c r="K178" s="1">
        <v>19</v>
      </c>
      <c r="M178" s="38"/>
    </row>
    <row r="179" spans="1:13" ht="12.75">
      <c r="A179" s="41"/>
      <c r="B179" s="1" t="s">
        <v>104</v>
      </c>
      <c r="C179" s="42">
        <v>378</v>
      </c>
      <c r="D179" s="42"/>
      <c r="F179" s="43"/>
      <c r="G179" s="38"/>
      <c r="H179" s="39">
        <f>J179/(100+K179)*100</f>
        <v>0</v>
      </c>
      <c r="I179" s="39">
        <f>J179/(100+K179)*K179</f>
        <v>0</v>
      </c>
      <c r="J179" s="40"/>
      <c r="K179" s="1">
        <v>19</v>
      </c>
      <c r="M179" s="38"/>
    </row>
    <row r="180" spans="1:13" ht="12.75">
      <c r="A180" s="41"/>
      <c r="B180" s="1" t="s">
        <v>104</v>
      </c>
      <c r="C180" s="42">
        <v>379</v>
      </c>
      <c r="D180" s="42"/>
      <c r="F180" s="43"/>
      <c r="G180" s="38"/>
      <c r="H180" s="39">
        <f>J180/(100+K180)*100</f>
        <v>0</v>
      </c>
      <c r="I180" s="39">
        <f>J180/(100+K180)*K180</f>
        <v>0</v>
      </c>
      <c r="J180" s="40"/>
      <c r="K180" s="1">
        <v>19</v>
      </c>
      <c r="M180" s="38"/>
    </row>
    <row r="181" spans="1:13" ht="12.75">
      <c r="A181" s="41"/>
      <c r="B181" s="1" t="s">
        <v>104</v>
      </c>
      <c r="C181" s="42">
        <v>380</v>
      </c>
      <c r="D181" s="42"/>
      <c r="F181" s="43"/>
      <c r="G181" s="38"/>
      <c r="H181" s="39">
        <f>J181/(100+K181)*100</f>
        <v>0</v>
      </c>
      <c r="I181" s="39">
        <f>J181/(100+K181)*K181</f>
        <v>0</v>
      </c>
      <c r="J181" s="40"/>
      <c r="K181" s="1">
        <v>19</v>
      </c>
      <c r="M181" s="38"/>
    </row>
    <row r="182" spans="1:13" ht="12.75">
      <c r="A182" s="41"/>
      <c r="B182" s="1" t="s">
        <v>104</v>
      </c>
      <c r="C182" s="42">
        <v>381</v>
      </c>
      <c r="D182" s="42"/>
      <c r="F182" s="43"/>
      <c r="G182" s="38"/>
      <c r="H182" s="39">
        <f>J182/(100+K182)*100</f>
        <v>0</v>
      </c>
      <c r="I182" s="39">
        <f>J182/(100+K182)*K182</f>
        <v>0</v>
      </c>
      <c r="J182" s="40"/>
      <c r="K182" s="1">
        <v>19</v>
      </c>
      <c r="M182" s="38"/>
    </row>
    <row r="183" spans="1:13" ht="12.75">
      <c r="A183" s="41"/>
      <c r="B183" s="1" t="s">
        <v>104</v>
      </c>
      <c r="C183" s="42">
        <v>382</v>
      </c>
      <c r="D183" s="42"/>
      <c r="F183" s="43"/>
      <c r="G183" s="38"/>
      <c r="H183" s="39">
        <f>J183/(100+K183)*100</f>
        <v>0</v>
      </c>
      <c r="I183" s="39">
        <f>J183/(100+K183)*K183</f>
        <v>0</v>
      </c>
      <c r="J183" s="40"/>
      <c r="K183" s="1">
        <v>19</v>
      </c>
      <c r="M183" s="38"/>
    </row>
    <row r="184" spans="1:13" ht="12.75">
      <c r="A184" s="41"/>
      <c r="B184" s="1" t="s">
        <v>104</v>
      </c>
      <c r="C184" s="42">
        <v>383</v>
      </c>
      <c r="D184" s="42"/>
      <c r="F184" s="43"/>
      <c r="G184" s="38"/>
      <c r="H184" s="39">
        <f>J184/(100+K184)*100</f>
        <v>0</v>
      </c>
      <c r="I184" s="39">
        <f>J184/(100+K184)*K184</f>
        <v>0</v>
      </c>
      <c r="J184" s="40"/>
      <c r="K184" s="1">
        <v>19</v>
      </c>
      <c r="M184" s="38"/>
    </row>
    <row r="185" spans="1:13" ht="12.75">
      <c r="A185" s="41"/>
      <c r="B185" s="1" t="s">
        <v>104</v>
      </c>
      <c r="C185" s="42">
        <v>384</v>
      </c>
      <c r="D185" s="42"/>
      <c r="F185" s="43"/>
      <c r="G185" s="38"/>
      <c r="H185" s="39">
        <f>J185/(100+K185)*100</f>
        <v>0</v>
      </c>
      <c r="I185" s="39">
        <f>J185/(100+K185)*K185</f>
        <v>0</v>
      </c>
      <c r="J185" s="40"/>
      <c r="K185" s="1">
        <v>19</v>
      </c>
      <c r="M185" s="38"/>
    </row>
    <row r="186" spans="1:13" ht="12.75">
      <c r="A186" s="41"/>
      <c r="B186" s="1" t="s">
        <v>104</v>
      </c>
      <c r="C186" s="42">
        <v>385</v>
      </c>
      <c r="D186" s="42"/>
      <c r="F186" s="43"/>
      <c r="G186" s="38"/>
      <c r="H186" s="39">
        <f>J186/(100+K186)*100</f>
        <v>0</v>
      </c>
      <c r="I186" s="39">
        <f>J186/(100+K186)*K186</f>
        <v>0</v>
      </c>
      <c r="J186" s="40"/>
      <c r="K186" s="1">
        <v>19</v>
      </c>
      <c r="M186" s="38"/>
    </row>
    <row r="187" spans="1:13" ht="12.75">
      <c r="A187" s="41"/>
      <c r="B187" s="1" t="s">
        <v>104</v>
      </c>
      <c r="C187" s="42">
        <v>386</v>
      </c>
      <c r="D187" s="42"/>
      <c r="F187" s="43"/>
      <c r="G187" s="38"/>
      <c r="H187" s="39">
        <f>J187/(100+K187)*100</f>
        <v>0</v>
      </c>
      <c r="I187" s="39">
        <f>J187/(100+K187)*K187</f>
        <v>0</v>
      </c>
      <c r="J187" s="40"/>
      <c r="K187" s="1">
        <v>19</v>
      </c>
      <c r="M187" s="38"/>
    </row>
    <row r="188" spans="1:13" ht="12.75">
      <c r="A188" s="41"/>
      <c r="B188" s="1" t="s">
        <v>104</v>
      </c>
      <c r="C188" s="42">
        <v>387</v>
      </c>
      <c r="D188" s="42"/>
      <c r="F188" s="43"/>
      <c r="G188" s="38"/>
      <c r="H188" s="39">
        <f>J188/(100+K188)*100</f>
        <v>0</v>
      </c>
      <c r="I188" s="39">
        <f>J188/(100+K188)*K188</f>
        <v>0</v>
      </c>
      <c r="J188" s="40"/>
      <c r="K188" s="1">
        <v>19</v>
      </c>
      <c r="M188" s="38"/>
    </row>
    <row r="189" spans="1:13" ht="12.75">
      <c r="A189" s="41"/>
      <c r="B189" s="1" t="s">
        <v>104</v>
      </c>
      <c r="C189" s="42">
        <v>388</v>
      </c>
      <c r="D189" s="42"/>
      <c r="F189" s="43"/>
      <c r="G189" s="38"/>
      <c r="H189" s="39">
        <f>J189/(100+K189)*100</f>
        <v>0</v>
      </c>
      <c r="I189" s="39">
        <f>J189/(100+K189)*K189</f>
        <v>0</v>
      </c>
      <c r="J189" s="40"/>
      <c r="K189" s="1">
        <v>19</v>
      </c>
      <c r="M189" s="38"/>
    </row>
    <row r="190" spans="1:13" ht="12.75">
      <c r="A190" s="41"/>
      <c r="B190" s="1" t="s">
        <v>104</v>
      </c>
      <c r="C190" s="42">
        <v>389</v>
      </c>
      <c r="D190" s="42"/>
      <c r="F190" s="43"/>
      <c r="G190" s="38"/>
      <c r="H190" s="39">
        <f>J190/(100+K190)*100</f>
        <v>0</v>
      </c>
      <c r="I190" s="39">
        <f>J190/(100+K190)*K190</f>
        <v>0</v>
      </c>
      <c r="J190" s="40"/>
      <c r="K190" s="1">
        <v>19</v>
      </c>
      <c r="M190" s="38"/>
    </row>
    <row r="191" spans="1:13" ht="12.75">
      <c r="A191" s="41"/>
      <c r="B191" s="1" t="s">
        <v>104</v>
      </c>
      <c r="C191" s="42">
        <v>390</v>
      </c>
      <c r="D191" s="42"/>
      <c r="F191" s="43"/>
      <c r="G191" s="38"/>
      <c r="H191" s="39">
        <f>J191/(100+K191)*100</f>
        <v>0</v>
      </c>
      <c r="I191" s="39">
        <f>J191/(100+K191)*K191</f>
        <v>0</v>
      </c>
      <c r="J191" s="40"/>
      <c r="K191" s="1">
        <v>19</v>
      </c>
      <c r="M191" s="38"/>
    </row>
    <row r="192" spans="1:13" ht="12.75">
      <c r="A192" s="41"/>
      <c r="B192" s="1" t="s">
        <v>104</v>
      </c>
      <c r="C192" s="42">
        <v>391</v>
      </c>
      <c r="D192" s="42"/>
      <c r="F192" s="43"/>
      <c r="G192" s="38"/>
      <c r="H192" s="39">
        <f>J192/(100+K192)*100</f>
        <v>0</v>
      </c>
      <c r="I192" s="39">
        <f>J192/(100+K192)*K192</f>
        <v>0</v>
      </c>
      <c r="J192" s="40"/>
      <c r="K192" s="1">
        <v>19</v>
      </c>
      <c r="M192" s="38"/>
    </row>
    <row r="193" spans="1:13" ht="12.75">
      <c r="A193" s="41"/>
      <c r="B193" s="1" t="s">
        <v>104</v>
      </c>
      <c r="C193" s="42">
        <v>392</v>
      </c>
      <c r="D193" s="42"/>
      <c r="F193" s="43"/>
      <c r="G193" s="38"/>
      <c r="H193" s="39">
        <f>J193/(100+K193)*100</f>
        <v>0</v>
      </c>
      <c r="I193" s="39">
        <f>J193/(100+K193)*K193</f>
        <v>0</v>
      </c>
      <c r="J193" s="40"/>
      <c r="K193" s="1">
        <v>19</v>
      </c>
      <c r="M193" s="38"/>
    </row>
    <row r="194" spans="1:13" ht="12.75">
      <c r="A194" s="41"/>
      <c r="C194" s="42"/>
      <c r="D194" s="42"/>
      <c r="F194" s="43"/>
      <c r="G194" s="38"/>
      <c r="H194" s="47"/>
      <c r="I194" s="47"/>
      <c r="J194" s="38"/>
      <c r="M194" s="38"/>
    </row>
    <row r="195" spans="1:13" ht="12.75">
      <c r="A195" s="41" t="s">
        <v>106</v>
      </c>
      <c r="B195" s="48" t="s">
        <v>104</v>
      </c>
      <c r="C195" s="49"/>
      <c r="D195" s="49"/>
      <c r="E195" s="48"/>
      <c r="F195" s="50"/>
      <c r="G195" s="48"/>
      <c r="H195" s="51">
        <f>SUM(H101:H193)</f>
        <v>0</v>
      </c>
      <c r="I195" s="51">
        <f>SUM(I101:I193)</f>
        <v>0</v>
      </c>
      <c r="J195" s="51">
        <f>SUM(J101:J193)</f>
        <v>0</v>
      </c>
      <c r="K195" s="48"/>
      <c r="L195" s="52"/>
      <c r="M195" s="38"/>
    </row>
    <row r="196" spans="1:13" ht="12.75">
      <c r="A196" s="41"/>
      <c r="C196" s="37"/>
      <c r="D196" s="37"/>
      <c r="F196" s="43"/>
      <c r="G196" s="38"/>
      <c r="H196" s="47"/>
      <c r="I196" s="47"/>
      <c r="J196" s="38"/>
      <c r="M196" s="38"/>
    </row>
    <row r="197" spans="1:13" ht="12.75">
      <c r="A197" s="41"/>
      <c r="C197" s="37"/>
      <c r="D197" s="37"/>
      <c r="F197" s="43"/>
      <c r="G197" s="38"/>
      <c r="H197" s="47"/>
      <c r="I197" s="47"/>
      <c r="J197" s="38"/>
      <c r="M197" s="38"/>
    </row>
    <row r="198" spans="1:13" ht="12.75">
      <c r="A198" s="38" t="s">
        <v>109</v>
      </c>
      <c r="C198" s="37"/>
      <c r="D198" s="37"/>
      <c r="G198" s="38"/>
      <c r="J198" s="38"/>
      <c r="M198" s="38"/>
    </row>
    <row r="199" spans="1:13" ht="12.75">
      <c r="A199" s="41"/>
      <c r="C199" s="37"/>
      <c r="D199" s="37"/>
      <c r="F199" s="43"/>
      <c r="G199" s="38"/>
      <c r="H199" s="47"/>
      <c r="I199" s="47"/>
      <c r="J199" s="38"/>
      <c r="M199" s="38"/>
    </row>
    <row r="200" spans="1:13" ht="12.75">
      <c r="A200" s="41"/>
      <c r="B200" s="1" t="s">
        <v>110</v>
      </c>
      <c r="C200" s="42">
        <v>2101</v>
      </c>
      <c r="D200" s="16"/>
      <c r="F200" s="43"/>
      <c r="G200" s="46"/>
      <c r="H200" s="39">
        <f>J200/(100+K200)*100</f>
        <v>0</v>
      </c>
      <c r="I200" s="39">
        <f>J200/(100+K200)*K200</f>
        <v>0</v>
      </c>
      <c r="J200" s="40"/>
      <c r="K200" s="1">
        <v>19</v>
      </c>
      <c r="M200" s="38"/>
    </row>
    <row r="201" spans="1:13" ht="12.75">
      <c r="A201" s="41"/>
      <c r="B201" s="1" t="s">
        <v>110</v>
      </c>
      <c r="C201" s="37">
        <v>2102</v>
      </c>
      <c r="D201" s="37"/>
      <c r="F201" s="43"/>
      <c r="G201" s="38"/>
      <c r="H201" s="39">
        <f>J201/(100+K201)*100</f>
        <v>0</v>
      </c>
      <c r="I201" s="39">
        <f>J201/(100+K201)*K201</f>
        <v>0</v>
      </c>
      <c r="J201" s="38"/>
      <c r="K201" s="1">
        <v>19</v>
      </c>
      <c r="M201" s="38"/>
    </row>
    <row r="202" spans="1:13" ht="12.75">
      <c r="A202" s="41"/>
      <c r="B202" s="1" t="s">
        <v>110</v>
      </c>
      <c r="C202" s="37">
        <v>2103</v>
      </c>
      <c r="D202" s="37"/>
      <c r="F202" s="43"/>
      <c r="G202" s="38"/>
      <c r="H202" s="39">
        <f>J202/(100+K202)*100</f>
        <v>0</v>
      </c>
      <c r="I202" s="39">
        <f>J202/(100+K202)*K202</f>
        <v>0</v>
      </c>
      <c r="J202" s="38"/>
      <c r="K202" s="1">
        <v>19</v>
      </c>
      <c r="M202" s="38"/>
    </row>
    <row r="203" spans="1:13" ht="12.75">
      <c r="A203" s="41"/>
      <c r="B203" s="1" t="s">
        <v>110</v>
      </c>
      <c r="C203" s="37">
        <v>2104</v>
      </c>
      <c r="D203" s="37"/>
      <c r="F203" s="43"/>
      <c r="G203" s="38"/>
      <c r="H203" s="39">
        <f>J203/(100+K203)*100</f>
        <v>0</v>
      </c>
      <c r="I203" s="39">
        <f>J203/(100+K203)*K203</f>
        <v>0</v>
      </c>
      <c r="J203" s="38"/>
      <c r="K203" s="1">
        <v>19</v>
      </c>
      <c r="M203" s="38"/>
    </row>
    <row r="204" spans="1:13" ht="12.75">
      <c r="A204" s="41"/>
      <c r="B204" s="1" t="s">
        <v>110</v>
      </c>
      <c r="C204" s="37">
        <v>2105</v>
      </c>
      <c r="D204" s="37"/>
      <c r="F204" s="43"/>
      <c r="G204" s="38"/>
      <c r="H204" s="39">
        <f>J204/(100+K204)*100</f>
        <v>0</v>
      </c>
      <c r="I204" s="39">
        <f>J204/(100+K204)*K204</f>
        <v>0</v>
      </c>
      <c r="J204" s="38"/>
      <c r="K204" s="1">
        <v>19</v>
      </c>
      <c r="M204" s="38"/>
    </row>
    <row r="205" spans="1:13" ht="12.75">
      <c r="A205" s="41"/>
      <c r="B205" s="1" t="s">
        <v>110</v>
      </c>
      <c r="C205" s="37">
        <v>2106</v>
      </c>
      <c r="D205" s="37"/>
      <c r="F205" s="43"/>
      <c r="G205" s="38"/>
      <c r="H205" s="39">
        <f>J205/(100+K205)*100</f>
        <v>0</v>
      </c>
      <c r="I205" s="39">
        <f>J205/(100+K205)*K205</f>
        <v>0</v>
      </c>
      <c r="J205" s="38"/>
      <c r="M205" s="38"/>
    </row>
    <row r="206" spans="1:13" ht="12.75">
      <c r="A206" s="41"/>
      <c r="B206" s="1" t="s">
        <v>110</v>
      </c>
      <c r="C206" s="37">
        <v>2107</v>
      </c>
      <c r="D206" s="37"/>
      <c r="F206" s="43"/>
      <c r="G206" s="38"/>
      <c r="H206" s="39">
        <f>J206/(100+K206)*100</f>
        <v>0</v>
      </c>
      <c r="I206" s="39">
        <f>J206/(100+K206)*K206</f>
        <v>0</v>
      </c>
      <c r="J206" s="38"/>
      <c r="M206" s="38"/>
    </row>
    <row r="207" spans="1:13" ht="12.75">
      <c r="A207" s="41"/>
      <c r="B207" s="1" t="s">
        <v>111</v>
      </c>
      <c r="C207" s="37">
        <v>2108</v>
      </c>
      <c r="D207" s="37"/>
      <c r="F207" s="43"/>
      <c r="G207" s="38"/>
      <c r="H207" s="39">
        <f>J207/(100+K207)*100</f>
        <v>0</v>
      </c>
      <c r="I207" s="39">
        <f>J207/(100+K207)*K207</f>
        <v>0</v>
      </c>
      <c r="J207" s="38"/>
      <c r="M207" s="38"/>
    </row>
    <row r="208" spans="1:13" ht="12.75">
      <c r="A208" s="41"/>
      <c r="B208" s="1" t="s">
        <v>111</v>
      </c>
      <c r="C208" s="37">
        <v>2109</v>
      </c>
      <c r="D208" s="37"/>
      <c r="F208" s="43"/>
      <c r="G208" s="38"/>
      <c r="H208" s="39">
        <f>J208/(100+K208)*100</f>
        <v>0</v>
      </c>
      <c r="I208" s="39">
        <f>J208/(100+K208)*K208</f>
        <v>0</v>
      </c>
      <c r="J208" s="38"/>
      <c r="M208" s="38"/>
    </row>
    <row r="209" spans="1:13" ht="12.75">
      <c r="A209" s="41"/>
      <c r="B209" s="1" t="s">
        <v>111</v>
      </c>
      <c r="C209" s="37">
        <v>2110</v>
      </c>
      <c r="D209" s="37"/>
      <c r="F209" s="43"/>
      <c r="G209" s="38"/>
      <c r="H209" s="39">
        <f>J209/(100+K209)*100</f>
        <v>0</v>
      </c>
      <c r="I209" s="39">
        <f>J209/(100+K209)*K209</f>
        <v>0</v>
      </c>
      <c r="J209" s="38"/>
      <c r="M209" s="38"/>
    </row>
    <row r="210" spans="1:13" ht="12.75">
      <c r="A210" s="41"/>
      <c r="B210" s="1" t="s">
        <v>111</v>
      </c>
      <c r="C210" s="37">
        <v>2111</v>
      </c>
      <c r="D210" s="37"/>
      <c r="F210" s="43"/>
      <c r="G210" s="38"/>
      <c r="H210" s="39">
        <f>J210/(100+K210)*100</f>
        <v>0</v>
      </c>
      <c r="I210" s="39">
        <f>J210/(100+K210)*K210</f>
        <v>0</v>
      </c>
      <c r="J210" s="38"/>
      <c r="M210" s="38"/>
    </row>
    <row r="211" spans="1:13" ht="12.75">
      <c r="A211" s="41"/>
      <c r="B211" s="1" t="s">
        <v>111</v>
      </c>
      <c r="C211" s="37">
        <v>2112</v>
      </c>
      <c r="D211" s="37"/>
      <c r="F211" s="43"/>
      <c r="G211" s="38"/>
      <c r="H211" s="39">
        <f>J211/(100+K211)*100</f>
        <v>0</v>
      </c>
      <c r="I211" s="39">
        <f>J211/(100+K211)*K211</f>
        <v>0</v>
      </c>
      <c r="J211" s="38"/>
      <c r="M211" s="38"/>
    </row>
    <row r="212" spans="1:13" ht="12.75">
      <c r="A212" s="41"/>
      <c r="B212" s="1" t="s">
        <v>111</v>
      </c>
      <c r="C212" s="37">
        <v>2113</v>
      </c>
      <c r="D212" s="37"/>
      <c r="F212" s="43"/>
      <c r="G212" s="38"/>
      <c r="H212" s="39">
        <f>J212/(100+K212)*100</f>
        <v>0</v>
      </c>
      <c r="I212" s="39">
        <f>J212/(100+K212)*K212</f>
        <v>0</v>
      </c>
      <c r="J212" s="38"/>
      <c r="M212" s="38"/>
    </row>
    <row r="213" spans="1:13" ht="12.75">
      <c r="A213" s="41"/>
      <c r="B213" s="1" t="s">
        <v>111</v>
      </c>
      <c r="C213" s="37">
        <v>2114</v>
      </c>
      <c r="D213" s="37"/>
      <c r="F213" s="43"/>
      <c r="G213" s="38"/>
      <c r="H213" s="39">
        <f>J213/(100+K213)*100</f>
        <v>0</v>
      </c>
      <c r="I213" s="39">
        <f>J213/(100+K213)*K213</f>
        <v>0</v>
      </c>
      <c r="J213" s="38"/>
      <c r="M213" s="38"/>
    </row>
    <row r="214" spans="1:13" ht="12.75">
      <c r="A214" s="41"/>
      <c r="B214" s="1" t="s">
        <v>111</v>
      </c>
      <c r="C214" s="37">
        <v>2115</v>
      </c>
      <c r="D214" s="37"/>
      <c r="F214" s="43"/>
      <c r="G214" s="38"/>
      <c r="H214" s="39">
        <f>J214/(100+K214)*100</f>
        <v>0</v>
      </c>
      <c r="I214" s="39">
        <f>J214/(100+K214)*K214</f>
        <v>0</v>
      </c>
      <c r="J214" s="38"/>
      <c r="M214" s="38"/>
    </row>
    <row r="215" spans="1:13" ht="12.75">
      <c r="A215" s="41"/>
      <c r="B215" s="1" t="s">
        <v>111</v>
      </c>
      <c r="C215" s="37">
        <v>2116</v>
      </c>
      <c r="D215" s="37"/>
      <c r="F215" s="43"/>
      <c r="G215" s="38"/>
      <c r="H215" s="39">
        <f>J215/(100+K215)*100</f>
        <v>0</v>
      </c>
      <c r="I215" s="39">
        <f>J215/(100+K215)*K215</f>
        <v>0</v>
      </c>
      <c r="J215" s="38"/>
      <c r="M215" s="38"/>
    </row>
    <row r="216" spans="1:13" ht="12.75">
      <c r="A216" s="41"/>
      <c r="B216" s="1" t="s">
        <v>111</v>
      </c>
      <c r="C216" s="37">
        <v>2117</v>
      </c>
      <c r="D216" s="37"/>
      <c r="F216" s="43"/>
      <c r="G216" s="38"/>
      <c r="H216" s="39">
        <f>J216/(100+K216)*100</f>
        <v>0</v>
      </c>
      <c r="I216" s="39">
        <f>J216/(100+K216)*K216</f>
        <v>0</v>
      </c>
      <c r="J216" s="38"/>
      <c r="M216" s="38"/>
    </row>
    <row r="217" spans="1:13" ht="12.75">
      <c r="A217" s="41"/>
      <c r="B217" s="1" t="s">
        <v>111</v>
      </c>
      <c r="C217" s="37">
        <v>2118</v>
      </c>
      <c r="D217" s="37"/>
      <c r="F217" s="43"/>
      <c r="G217" s="38"/>
      <c r="H217" s="39">
        <f>J217/(100+K217)*100</f>
        <v>0</v>
      </c>
      <c r="I217" s="39">
        <f>J217/(100+K217)*K217</f>
        <v>0</v>
      </c>
      <c r="J217" s="38"/>
      <c r="M217" s="38"/>
    </row>
    <row r="218" spans="1:13" ht="12.75">
      <c r="A218" s="41"/>
      <c r="B218" s="1" t="s">
        <v>111</v>
      </c>
      <c r="C218" s="37">
        <v>2119</v>
      </c>
      <c r="D218" s="37"/>
      <c r="F218" s="43"/>
      <c r="G218" s="38"/>
      <c r="H218" s="39">
        <f>J218/(100+K218)*100</f>
        <v>0</v>
      </c>
      <c r="I218" s="39">
        <f>J218/(100+K218)*K218</f>
        <v>0</v>
      </c>
      <c r="J218" s="38"/>
      <c r="M218" s="38"/>
    </row>
    <row r="219" spans="1:13" ht="12.75">
      <c r="A219" s="41"/>
      <c r="B219" s="1" t="s">
        <v>111</v>
      </c>
      <c r="C219" s="37">
        <v>2120</v>
      </c>
      <c r="D219" s="37"/>
      <c r="F219" s="43"/>
      <c r="G219" s="38"/>
      <c r="H219" s="39">
        <f>J219/(100+K219)*100</f>
        <v>0</v>
      </c>
      <c r="I219" s="39">
        <f>J219/(100+K219)*K219</f>
        <v>0</v>
      </c>
      <c r="J219" s="38"/>
      <c r="M219" s="38"/>
    </row>
    <row r="220" spans="1:13" ht="12.75">
      <c r="A220" s="41"/>
      <c r="B220" s="1" t="s">
        <v>111</v>
      </c>
      <c r="C220" s="37">
        <v>2121</v>
      </c>
      <c r="D220" s="37"/>
      <c r="F220" s="43"/>
      <c r="G220" s="38"/>
      <c r="H220" s="39">
        <f>J220/(100+K220)*100</f>
        <v>0</v>
      </c>
      <c r="I220" s="39">
        <f>J220/(100+K220)*K220</f>
        <v>0</v>
      </c>
      <c r="J220" s="38"/>
      <c r="M220" s="38"/>
    </row>
    <row r="221" spans="1:13" ht="12.75">
      <c r="A221" s="41"/>
      <c r="B221" s="1" t="s">
        <v>111</v>
      </c>
      <c r="C221" s="37">
        <v>2122</v>
      </c>
      <c r="D221" s="37"/>
      <c r="F221" s="43"/>
      <c r="G221" s="38"/>
      <c r="H221" s="39">
        <f>J221/(100+K221)*100</f>
        <v>0</v>
      </c>
      <c r="I221" s="39">
        <f>J221/(100+K221)*K221</f>
        <v>0</v>
      </c>
      <c r="J221" s="38"/>
      <c r="M221" s="38"/>
    </row>
    <row r="222" spans="1:13" ht="12.75">
      <c r="A222" s="41"/>
      <c r="B222" s="1" t="s">
        <v>111</v>
      </c>
      <c r="C222" s="37">
        <v>2123</v>
      </c>
      <c r="D222" s="37"/>
      <c r="F222" s="43"/>
      <c r="G222" s="38"/>
      <c r="H222" s="39">
        <f>J222/(100+K222)*100</f>
        <v>0</v>
      </c>
      <c r="I222" s="39">
        <f>J222/(100+K222)*K222</f>
        <v>0</v>
      </c>
      <c r="J222" s="38"/>
      <c r="M222" s="38"/>
    </row>
    <row r="223" spans="1:13" ht="12.75">
      <c r="A223" s="41"/>
      <c r="B223" s="1" t="s">
        <v>111</v>
      </c>
      <c r="C223" s="37">
        <v>2124</v>
      </c>
      <c r="D223" s="37"/>
      <c r="F223" s="43"/>
      <c r="G223" s="38"/>
      <c r="H223" s="39">
        <f>J223/(100+K223)*100</f>
        <v>0</v>
      </c>
      <c r="I223" s="39">
        <f>J223/(100+K223)*K223</f>
        <v>0</v>
      </c>
      <c r="J223" s="38"/>
      <c r="M223" s="38"/>
    </row>
    <row r="224" spans="1:13" ht="12.75">
      <c r="A224" s="41"/>
      <c r="B224" s="1" t="s">
        <v>111</v>
      </c>
      <c r="C224" s="37">
        <v>2125</v>
      </c>
      <c r="D224" s="37"/>
      <c r="F224" s="43"/>
      <c r="G224" s="38"/>
      <c r="H224" s="39">
        <f>J224/(100+K224)*100</f>
        <v>0</v>
      </c>
      <c r="I224" s="39">
        <f>J224/(100+K224)*K224</f>
        <v>0</v>
      </c>
      <c r="J224" s="38"/>
      <c r="M224" s="38"/>
    </row>
    <row r="225" spans="1:13" ht="12.75">
      <c r="A225" s="41"/>
      <c r="B225" s="1" t="s">
        <v>111</v>
      </c>
      <c r="C225" s="37">
        <v>2126</v>
      </c>
      <c r="D225" s="37"/>
      <c r="F225" s="43"/>
      <c r="G225" s="38"/>
      <c r="H225" s="39">
        <f>J225/(100+K225)*100</f>
        <v>0</v>
      </c>
      <c r="I225" s="39">
        <f>J225/(100+K225)*K225</f>
        <v>0</v>
      </c>
      <c r="J225" s="38"/>
      <c r="M225" s="38"/>
    </row>
    <row r="226" spans="1:13" ht="12.75">
      <c r="A226" s="41"/>
      <c r="B226" s="1" t="s">
        <v>111</v>
      </c>
      <c r="C226" s="37">
        <v>2127</v>
      </c>
      <c r="D226" s="37"/>
      <c r="F226" s="43"/>
      <c r="G226" s="38"/>
      <c r="H226" s="39">
        <f>J226/(100+K226)*100</f>
        <v>0</v>
      </c>
      <c r="I226" s="39">
        <f>J226/(100+K226)*K226</f>
        <v>0</v>
      </c>
      <c r="J226" s="38"/>
      <c r="M226" s="38"/>
    </row>
    <row r="227" spans="1:13" ht="12.75">
      <c r="A227" s="41"/>
      <c r="B227" s="1" t="s">
        <v>111</v>
      </c>
      <c r="C227" s="37">
        <v>2128</v>
      </c>
      <c r="D227" s="37"/>
      <c r="F227" s="43"/>
      <c r="G227" s="38"/>
      <c r="H227" s="39">
        <f>J227/(100+K227)*100</f>
        <v>0</v>
      </c>
      <c r="I227" s="39">
        <f>J227/(100+K227)*K227</f>
        <v>0</v>
      </c>
      <c r="J227" s="38"/>
      <c r="M227" s="38"/>
    </row>
    <row r="228" spans="1:13" ht="12.75">
      <c r="A228" s="41"/>
      <c r="B228" s="1" t="s">
        <v>111</v>
      </c>
      <c r="C228" s="37">
        <v>2129</v>
      </c>
      <c r="D228" s="37"/>
      <c r="F228" s="43"/>
      <c r="G228" s="38"/>
      <c r="H228" s="39">
        <f>J228/(100+K228)*100</f>
        <v>0</v>
      </c>
      <c r="I228" s="39">
        <f>J228/(100+K228)*K228</f>
        <v>0</v>
      </c>
      <c r="J228" s="38"/>
      <c r="M228" s="38"/>
    </row>
    <row r="229" spans="1:13" ht="12.75">
      <c r="A229" s="41"/>
      <c r="B229" s="1" t="s">
        <v>111</v>
      </c>
      <c r="C229" s="37">
        <v>2130</v>
      </c>
      <c r="D229" s="37"/>
      <c r="F229" s="43"/>
      <c r="G229" s="38"/>
      <c r="H229" s="39">
        <f>J229/(100+K229)*100</f>
        <v>0</v>
      </c>
      <c r="I229" s="39">
        <f>J229/(100+K229)*K229</f>
        <v>0</v>
      </c>
      <c r="J229" s="38"/>
      <c r="M229" s="38"/>
    </row>
    <row r="230" spans="1:13" ht="12.75">
      <c r="A230" s="41"/>
      <c r="B230" s="1" t="s">
        <v>111</v>
      </c>
      <c r="C230" s="37"/>
      <c r="D230" s="37"/>
      <c r="F230" s="43"/>
      <c r="G230" s="38"/>
      <c r="H230" s="39">
        <f>J230/(100+K230)*100</f>
        <v>0</v>
      </c>
      <c r="I230" s="39">
        <f>J230/(100+K230)*K230</f>
        <v>0</v>
      </c>
      <c r="J230" s="38"/>
      <c r="M230" s="38"/>
    </row>
    <row r="231" spans="1:13" ht="12.75">
      <c r="A231" s="41"/>
      <c r="C231" s="37"/>
      <c r="D231" s="37"/>
      <c r="F231" s="43"/>
      <c r="G231" s="38"/>
      <c r="H231" s="47"/>
      <c r="I231" s="47"/>
      <c r="J231" s="38"/>
      <c r="M231" s="38"/>
    </row>
    <row r="232" spans="1:13" ht="12.75">
      <c r="A232" s="58" t="s">
        <v>106</v>
      </c>
      <c r="B232" s="48" t="s">
        <v>111</v>
      </c>
      <c r="C232" s="49"/>
      <c r="D232" s="49"/>
      <c r="E232" s="48"/>
      <c r="F232" s="50"/>
      <c r="G232" s="48"/>
      <c r="H232" s="51">
        <f>SUM(H200:H230)</f>
        <v>0</v>
      </c>
      <c r="I232" s="51">
        <f>SUM(I200:I230)</f>
        <v>0</v>
      </c>
      <c r="J232" s="48">
        <f>SUM(J200:J230)</f>
        <v>0</v>
      </c>
      <c r="K232" s="48"/>
      <c r="L232" s="52"/>
      <c r="M232" s="38"/>
    </row>
    <row r="233" spans="1:13" ht="12.75">
      <c r="A233" s="38"/>
      <c r="C233" s="37"/>
      <c r="D233" s="37"/>
      <c r="G233" s="38"/>
      <c r="J233" s="38"/>
      <c r="M233" s="38"/>
    </row>
    <row r="234" spans="1:13" ht="12.75">
      <c r="A234" s="38"/>
      <c r="C234" s="37"/>
      <c r="D234" s="37"/>
      <c r="G234" s="38"/>
      <c r="J234" s="38"/>
      <c r="M234" s="38"/>
    </row>
    <row r="235" spans="1:13" ht="12.75">
      <c r="A235" s="38"/>
      <c r="C235" s="37"/>
      <c r="D235" s="37"/>
      <c r="G235" s="38"/>
      <c r="J235" s="38"/>
      <c r="M235" s="38"/>
    </row>
    <row r="236" spans="1:13" ht="12.75">
      <c r="A236" s="38"/>
      <c r="C236" s="37"/>
      <c r="D236" s="37"/>
      <c r="G236" s="38"/>
      <c r="J236" s="38"/>
      <c r="M236" s="38"/>
    </row>
    <row r="237" spans="1:13" ht="12.75">
      <c r="A237" s="38" t="s">
        <v>112</v>
      </c>
      <c r="C237" s="37"/>
      <c r="D237" s="37"/>
      <c r="G237" s="38" t="s">
        <v>113</v>
      </c>
      <c r="J237" s="38"/>
      <c r="M237" s="38"/>
    </row>
    <row r="238" spans="1:13" ht="12.75">
      <c r="A238" s="41"/>
      <c r="C238" s="37"/>
      <c r="D238" s="37"/>
      <c r="F238" s="43"/>
      <c r="G238" s="38"/>
      <c r="H238" s="47"/>
      <c r="I238" s="47"/>
      <c r="J238" s="38"/>
      <c r="M238" s="38"/>
    </row>
    <row r="239" spans="1:13" ht="12.75">
      <c r="A239" s="41"/>
      <c r="B239" s="1" t="s">
        <v>110</v>
      </c>
      <c r="C239" s="37">
        <v>2201</v>
      </c>
      <c r="D239" s="37"/>
      <c r="F239" s="43"/>
      <c r="G239" s="38"/>
      <c r="H239" s="39">
        <f>J239/(100+K239)*100</f>
        <v>0</v>
      </c>
      <c r="I239" s="39">
        <f>J239/(100+K239)*K239</f>
        <v>0</v>
      </c>
      <c r="J239" s="38"/>
      <c r="K239" s="1">
        <v>19</v>
      </c>
      <c r="M239" s="38"/>
    </row>
    <row r="240" spans="1:13" ht="12.75">
      <c r="A240" s="41"/>
      <c r="B240" s="1" t="s">
        <v>110</v>
      </c>
      <c r="C240" s="37">
        <v>2202</v>
      </c>
      <c r="D240" s="37"/>
      <c r="F240" s="43"/>
      <c r="G240" s="38"/>
      <c r="H240" s="39">
        <f>J240/(100+K240)*100</f>
        <v>0</v>
      </c>
      <c r="I240" s="39">
        <f>J240/(100+K240)*K240</f>
        <v>0</v>
      </c>
      <c r="J240" s="38"/>
      <c r="K240" s="1">
        <v>19</v>
      </c>
      <c r="M240" s="38"/>
    </row>
    <row r="241" spans="1:13" ht="12.75">
      <c r="A241" s="41"/>
      <c r="B241" s="1" t="s">
        <v>110</v>
      </c>
      <c r="C241" s="37">
        <v>2203</v>
      </c>
      <c r="D241" s="37"/>
      <c r="F241" s="43"/>
      <c r="G241" s="38"/>
      <c r="H241" s="39">
        <f>J241/(100+K241)*100</f>
        <v>0</v>
      </c>
      <c r="I241" s="39">
        <f>J241/(100+K241)*K241</f>
        <v>0</v>
      </c>
      <c r="J241" s="38"/>
      <c r="K241" s="1">
        <v>19</v>
      </c>
      <c r="M241" s="38"/>
    </row>
    <row r="242" spans="1:13" ht="12.75">
      <c r="A242" s="41"/>
      <c r="B242" s="1" t="s">
        <v>110</v>
      </c>
      <c r="C242" s="37">
        <v>2204</v>
      </c>
      <c r="D242" s="37"/>
      <c r="F242" s="43"/>
      <c r="G242" s="38"/>
      <c r="H242" s="39">
        <f>J242/(100+K242)*100</f>
        <v>0</v>
      </c>
      <c r="I242" s="39">
        <f>J242/(100+K242)*K242</f>
        <v>0</v>
      </c>
      <c r="J242" s="38"/>
      <c r="K242" s="1">
        <v>19</v>
      </c>
      <c r="M242" s="38"/>
    </row>
    <row r="243" spans="1:13" ht="12.75">
      <c r="A243" s="41"/>
      <c r="B243" s="1" t="s">
        <v>110</v>
      </c>
      <c r="C243" s="37">
        <v>2205</v>
      </c>
      <c r="D243" s="37"/>
      <c r="F243" s="43"/>
      <c r="G243" s="38"/>
      <c r="H243" s="39">
        <f>J243/(100+K243)*100</f>
        <v>0</v>
      </c>
      <c r="I243" s="39">
        <f>J243/(100+K243)*K243</f>
        <v>0</v>
      </c>
      <c r="J243" s="38"/>
      <c r="K243" s="1">
        <v>19</v>
      </c>
      <c r="M243" s="38"/>
    </row>
    <row r="244" spans="1:13" ht="12.75">
      <c r="A244" s="41"/>
      <c r="B244" s="1" t="s">
        <v>110</v>
      </c>
      <c r="C244" s="37">
        <v>2206</v>
      </c>
      <c r="D244" s="37"/>
      <c r="F244" s="43"/>
      <c r="G244" s="38"/>
      <c r="H244" s="39">
        <f>J244/(100+K244)*100</f>
        <v>0</v>
      </c>
      <c r="I244" s="39">
        <f>J244/(100+K244)*K244</f>
        <v>0</v>
      </c>
      <c r="J244" s="38"/>
      <c r="M244" s="38"/>
    </row>
    <row r="245" spans="1:13" ht="12.75">
      <c r="A245" s="41"/>
      <c r="B245" s="1" t="s">
        <v>110</v>
      </c>
      <c r="C245" s="37">
        <v>2207</v>
      </c>
      <c r="D245" s="37"/>
      <c r="F245" s="43"/>
      <c r="G245" s="38"/>
      <c r="H245" s="39">
        <f>J245/(100+K245)*100</f>
        <v>0</v>
      </c>
      <c r="I245" s="39">
        <f>J245/(100+K245)*K245</f>
        <v>0</v>
      </c>
      <c r="J245" s="38"/>
      <c r="M245" s="38"/>
    </row>
    <row r="246" spans="1:13" ht="12.75">
      <c r="A246" s="41"/>
      <c r="B246" s="1" t="s">
        <v>110</v>
      </c>
      <c r="C246" s="37">
        <v>2208</v>
      </c>
      <c r="D246" s="37"/>
      <c r="F246" s="43"/>
      <c r="G246" s="38"/>
      <c r="H246" s="39">
        <f>J246/(100+K246)*100</f>
        <v>0</v>
      </c>
      <c r="I246" s="39">
        <f>J246/(100+K246)*K246</f>
        <v>0</v>
      </c>
      <c r="J246" s="38"/>
      <c r="M246" s="38"/>
    </row>
    <row r="247" spans="1:13" ht="12.75">
      <c r="A247" s="41"/>
      <c r="B247" s="1" t="s">
        <v>110</v>
      </c>
      <c r="C247" s="37">
        <v>2209</v>
      </c>
      <c r="D247" s="37"/>
      <c r="F247" s="43"/>
      <c r="G247" s="38"/>
      <c r="H247" s="39">
        <f>J247/(100+K247)*100</f>
        <v>0</v>
      </c>
      <c r="I247" s="39">
        <f>J247/(100+K247)*K247</f>
        <v>0</v>
      </c>
      <c r="J247" s="38"/>
      <c r="M247" s="38"/>
    </row>
    <row r="248" spans="1:13" ht="12.75">
      <c r="A248" s="41"/>
      <c r="B248" s="1" t="s">
        <v>110</v>
      </c>
      <c r="C248" s="37">
        <v>2210</v>
      </c>
      <c r="D248" s="37"/>
      <c r="F248" s="43"/>
      <c r="G248" s="38"/>
      <c r="H248" s="39">
        <f>J248/(100+K248)*100</f>
        <v>0</v>
      </c>
      <c r="I248" s="39">
        <f>J248/(100+K248)*K248</f>
        <v>0</v>
      </c>
      <c r="J248" s="38"/>
      <c r="M248" s="38"/>
    </row>
    <row r="249" spans="1:13" ht="12.75">
      <c r="A249" s="41"/>
      <c r="B249" s="1" t="s">
        <v>110</v>
      </c>
      <c r="C249" s="37">
        <v>2211</v>
      </c>
      <c r="D249" s="37"/>
      <c r="F249" s="43"/>
      <c r="G249" s="38"/>
      <c r="H249" s="39">
        <f>J249/(100+K249)*100</f>
        <v>0</v>
      </c>
      <c r="I249" s="39">
        <f>J249/(100+K249)*K249</f>
        <v>0</v>
      </c>
      <c r="J249" s="38"/>
      <c r="M249" s="38"/>
    </row>
    <row r="250" spans="1:13" ht="12.75">
      <c r="A250" s="41"/>
      <c r="B250" s="1" t="s">
        <v>110</v>
      </c>
      <c r="C250" s="37">
        <v>2212</v>
      </c>
      <c r="D250" s="37"/>
      <c r="F250" s="43"/>
      <c r="G250" s="38"/>
      <c r="H250" s="39">
        <f>J250/(100+K250)*100</f>
        <v>0</v>
      </c>
      <c r="I250" s="39">
        <f>J250/(100+K250)*K250</f>
        <v>0</v>
      </c>
      <c r="J250" s="38"/>
      <c r="M250" s="38"/>
    </row>
    <row r="251" spans="1:13" ht="12.75">
      <c r="A251" s="41"/>
      <c r="B251" s="1" t="s">
        <v>110</v>
      </c>
      <c r="C251" s="37">
        <v>2213</v>
      </c>
      <c r="D251" s="37"/>
      <c r="F251" s="43"/>
      <c r="G251" s="38"/>
      <c r="H251" s="39">
        <f>J251/(100+K251)*100</f>
        <v>0</v>
      </c>
      <c r="I251" s="39">
        <f>J251/(100+K251)*K251</f>
        <v>0</v>
      </c>
      <c r="J251" s="38"/>
      <c r="M251" s="38"/>
    </row>
    <row r="252" spans="1:13" ht="12.75">
      <c r="A252" s="41"/>
      <c r="B252" s="1" t="s">
        <v>110</v>
      </c>
      <c r="C252" s="37">
        <v>2214</v>
      </c>
      <c r="D252" s="37"/>
      <c r="F252" s="43"/>
      <c r="G252" s="38"/>
      <c r="H252" s="39">
        <f>J252/(100+K252)*100</f>
        <v>0</v>
      </c>
      <c r="I252" s="39">
        <f>J252/(100+K252)*K252</f>
        <v>0</v>
      </c>
      <c r="J252" s="38"/>
      <c r="M252" s="38"/>
    </row>
    <row r="253" spans="1:13" ht="12.75">
      <c r="A253" s="41"/>
      <c r="B253" s="1" t="s">
        <v>110</v>
      </c>
      <c r="C253" s="37">
        <v>2215</v>
      </c>
      <c r="D253" s="37"/>
      <c r="F253" s="43"/>
      <c r="G253" s="38"/>
      <c r="H253" s="39">
        <f>J253/(100+K253)*100</f>
        <v>0</v>
      </c>
      <c r="I253" s="39">
        <f>J253/(100+K253)*K253</f>
        <v>0</v>
      </c>
      <c r="J253" s="38"/>
      <c r="M253" s="38"/>
    </row>
    <row r="254" spans="1:13" ht="12.75">
      <c r="A254" s="41"/>
      <c r="B254" s="1" t="s">
        <v>110</v>
      </c>
      <c r="C254" s="37">
        <v>2216</v>
      </c>
      <c r="D254" s="37"/>
      <c r="F254" s="43"/>
      <c r="G254" s="38"/>
      <c r="H254" s="39">
        <f>J254/(100+K254)*100</f>
        <v>0</v>
      </c>
      <c r="I254" s="39">
        <f>J254/(100+K254)*K254</f>
        <v>0</v>
      </c>
      <c r="J254" s="38"/>
      <c r="M254" s="38"/>
    </row>
    <row r="255" spans="1:13" ht="12.75">
      <c r="A255" s="41"/>
      <c r="B255" s="1" t="s">
        <v>110</v>
      </c>
      <c r="C255" s="37">
        <v>2217</v>
      </c>
      <c r="D255" s="37"/>
      <c r="F255" s="43"/>
      <c r="G255" s="38"/>
      <c r="H255" s="39">
        <f>J255/(100+K255)*100</f>
        <v>0</v>
      </c>
      <c r="I255" s="39">
        <f>J255/(100+K255)*K255</f>
        <v>0</v>
      </c>
      <c r="J255" s="38"/>
      <c r="M255" s="38"/>
    </row>
    <row r="256" spans="1:13" ht="12.75">
      <c r="A256" s="41"/>
      <c r="B256" s="1" t="s">
        <v>110</v>
      </c>
      <c r="C256" s="37">
        <v>2218</v>
      </c>
      <c r="D256" s="37"/>
      <c r="F256" s="43"/>
      <c r="G256" s="38"/>
      <c r="H256" s="39">
        <f>J256/(100+K256)*100</f>
        <v>0</v>
      </c>
      <c r="I256" s="39">
        <f>J256/(100+K256)*K256</f>
        <v>0</v>
      </c>
      <c r="J256" s="38"/>
      <c r="M256" s="38"/>
    </row>
    <row r="257" spans="1:13" ht="12.75">
      <c r="A257" s="41"/>
      <c r="B257" s="1" t="s">
        <v>110</v>
      </c>
      <c r="C257" s="37">
        <v>2219</v>
      </c>
      <c r="D257" s="37"/>
      <c r="F257" s="43"/>
      <c r="G257" s="38"/>
      <c r="H257" s="39">
        <f>J257/(100+K257)*100</f>
        <v>0</v>
      </c>
      <c r="I257" s="39">
        <f>J257/(100+K257)*K257</f>
        <v>0</v>
      </c>
      <c r="J257" s="38"/>
      <c r="M257" s="38"/>
    </row>
    <row r="258" spans="1:13" ht="12.75">
      <c r="A258" s="41"/>
      <c r="B258" s="1" t="s">
        <v>110</v>
      </c>
      <c r="C258" s="37">
        <v>2220</v>
      </c>
      <c r="D258" s="37"/>
      <c r="F258" s="43"/>
      <c r="G258" s="38"/>
      <c r="H258" s="39">
        <f>J258/(100+K258)*100</f>
        <v>0</v>
      </c>
      <c r="I258" s="39">
        <f>J258/(100+K258)*K258</f>
        <v>0</v>
      </c>
      <c r="J258" s="38"/>
      <c r="M258" s="38"/>
    </row>
    <row r="259" spans="1:13" ht="12.75">
      <c r="A259" s="41"/>
      <c r="B259" s="1" t="s">
        <v>110</v>
      </c>
      <c r="C259" s="37">
        <v>2221</v>
      </c>
      <c r="D259" s="37"/>
      <c r="F259" s="43"/>
      <c r="G259" s="38"/>
      <c r="H259" s="39">
        <f>J259/(100+K259)*100</f>
        <v>0</v>
      </c>
      <c r="I259" s="39">
        <f>J259/(100+K259)*K259</f>
        <v>0</v>
      </c>
      <c r="J259" s="38"/>
      <c r="M259" s="38"/>
    </row>
    <row r="260" spans="1:13" ht="12.75">
      <c r="A260" s="41"/>
      <c r="B260" s="1" t="s">
        <v>110</v>
      </c>
      <c r="C260" s="37">
        <v>2222</v>
      </c>
      <c r="D260" s="37"/>
      <c r="F260" s="43"/>
      <c r="G260" s="38"/>
      <c r="H260" s="39">
        <f>J260/(100+K260)*100</f>
        <v>0</v>
      </c>
      <c r="I260" s="39">
        <f>J260/(100+K260)*K260</f>
        <v>0</v>
      </c>
      <c r="J260" s="38"/>
      <c r="M260" s="38"/>
    </row>
    <row r="261" spans="1:13" ht="12.75">
      <c r="A261" s="41"/>
      <c r="B261" s="1" t="s">
        <v>110</v>
      </c>
      <c r="C261" s="37">
        <v>2223</v>
      </c>
      <c r="D261" s="37"/>
      <c r="F261" s="43"/>
      <c r="G261" s="38"/>
      <c r="H261" s="39">
        <f>J261/(100+K261)*100</f>
        <v>0</v>
      </c>
      <c r="I261" s="39">
        <f>J261/(100+K261)*K261</f>
        <v>0</v>
      </c>
      <c r="J261" s="38"/>
      <c r="M261" s="38"/>
    </row>
    <row r="262" spans="1:13" ht="12.75">
      <c r="A262" s="41"/>
      <c r="B262" s="1" t="s">
        <v>110</v>
      </c>
      <c r="C262" s="37">
        <v>2224</v>
      </c>
      <c r="D262" s="37"/>
      <c r="F262" s="43"/>
      <c r="G262" s="38"/>
      <c r="H262" s="39">
        <f>J262/(100+K262)*100</f>
        <v>0</v>
      </c>
      <c r="I262" s="39">
        <f>J262/(100+K262)*K262</f>
        <v>0</v>
      </c>
      <c r="J262" s="38"/>
      <c r="M262" s="38"/>
    </row>
    <row r="263" spans="1:13" ht="12.75">
      <c r="A263" s="41"/>
      <c r="B263" s="1" t="s">
        <v>110</v>
      </c>
      <c r="C263" s="37">
        <v>2225</v>
      </c>
      <c r="D263" s="37"/>
      <c r="F263" s="43"/>
      <c r="G263" s="38"/>
      <c r="H263" s="39">
        <f>J263/(100+K263)*100</f>
        <v>0</v>
      </c>
      <c r="I263" s="39">
        <f>J263/(100+K263)*K263</f>
        <v>0</v>
      </c>
      <c r="J263" s="38"/>
      <c r="M263" s="38"/>
    </row>
    <row r="264" spans="1:13" ht="12.75">
      <c r="A264" s="41"/>
      <c r="B264" s="1" t="s">
        <v>110</v>
      </c>
      <c r="C264" s="37">
        <v>2226</v>
      </c>
      <c r="D264" s="37"/>
      <c r="F264" s="43"/>
      <c r="G264" s="38"/>
      <c r="H264" s="39">
        <f>J264/(100+K264)*100</f>
        <v>0</v>
      </c>
      <c r="I264" s="39">
        <f>J264/(100+K264)*K264</f>
        <v>0</v>
      </c>
      <c r="J264" s="38"/>
      <c r="M264" s="38"/>
    </row>
    <row r="265" spans="1:13" ht="12.75">
      <c r="A265" s="41"/>
      <c r="B265" s="1" t="s">
        <v>110</v>
      </c>
      <c r="C265" s="37">
        <v>2227</v>
      </c>
      <c r="D265" s="37"/>
      <c r="F265" s="43"/>
      <c r="G265" s="38"/>
      <c r="H265" s="39">
        <f>J265/(100+K265)*100</f>
        <v>0</v>
      </c>
      <c r="I265" s="39">
        <f>J265/(100+K265)*K265</f>
        <v>0</v>
      </c>
      <c r="J265" s="38"/>
      <c r="M265" s="38"/>
    </row>
    <row r="266" spans="1:13" ht="12.75">
      <c r="A266" s="41"/>
      <c r="B266" s="1" t="s">
        <v>110</v>
      </c>
      <c r="C266" s="37">
        <v>2228</v>
      </c>
      <c r="D266" s="37"/>
      <c r="F266" s="43"/>
      <c r="G266" s="38"/>
      <c r="H266" s="39">
        <f>J266/(100+K266)*100</f>
        <v>0</v>
      </c>
      <c r="I266" s="39">
        <f>J266/(100+K266)*K266</f>
        <v>0</v>
      </c>
      <c r="J266" s="38"/>
      <c r="M266" s="38"/>
    </row>
    <row r="267" spans="1:13" ht="12.75">
      <c r="A267" s="41"/>
      <c r="B267" s="1" t="s">
        <v>110</v>
      </c>
      <c r="C267" s="37">
        <v>2229</v>
      </c>
      <c r="D267" s="37"/>
      <c r="F267" s="43"/>
      <c r="G267" s="38"/>
      <c r="H267" s="39">
        <f>J267/(100+K267)*100</f>
        <v>0</v>
      </c>
      <c r="I267" s="39">
        <f>J267/(100+K267)*K267</f>
        <v>0</v>
      </c>
      <c r="J267" s="38"/>
      <c r="M267" s="38"/>
    </row>
    <row r="268" spans="1:13" ht="12.75">
      <c r="A268" s="41"/>
      <c r="B268" s="1" t="s">
        <v>110</v>
      </c>
      <c r="C268" s="37">
        <v>2230</v>
      </c>
      <c r="D268" s="37"/>
      <c r="F268" s="43"/>
      <c r="G268" s="38"/>
      <c r="H268" s="39">
        <f>J268/(100+K268)*100</f>
        <v>0</v>
      </c>
      <c r="I268" s="39">
        <f>J268/(100+K268)*K268</f>
        <v>0</v>
      </c>
      <c r="J268" s="38"/>
      <c r="M268" s="38"/>
    </row>
    <row r="269" spans="1:13" ht="12.75">
      <c r="A269" s="41"/>
      <c r="B269" s="1" t="s">
        <v>110</v>
      </c>
      <c r="C269" s="37"/>
      <c r="D269" s="37"/>
      <c r="F269" s="43"/>
      <c r="G269" s="38"/>
      <c r="H269" s="39">
        <f>J269/(100+K269)*100</f>
        <v>0</v>
      </c>
      <c r="I269" s="39">
        <f>J269/(100+K269)*K269</f>
        <v>0</v>
      </c>
      <c r="J269" s="38"/>
      <c r="M269" s="38"/>
    </row>
    <row r="270" spans="1:13" ht="12.75">
      <c r="A270" s="41"/>
      <c r="C270" s="37"/>
      <c r="D270" s="37"/>
      <c r="F270" s="43"/>
      <c r="G270" s="38"/>
      <c r="H270" s="47"/>
      <c r="I270" s="47"/>
      <c r="J270" s="38"/>
      <c r="M270" s="38"/>
    </row>
    <row r="271" spans="1:13" ht="12.75">
      <c r="A271" s="58" t="s">
        <v>106</v>
      </c>
      <c r="B271" s="48" t="s">
        <v>111</v>
      </c>
      <c r="C271" s="49"/>
      <c r="D271" s="49"/>
      <c r="E271" s="48"/>
      <c r="F271" s="50"/>
      <c r="G271" s="48"/>
      <c r="H271" s="51">
        <f>SUM(H239:H269)</f>
        <v>0</v>
      </c>
      <c r="I271" s="51">
        <f>SUM(I239:I269)</f>
        <v>0</v>
      </c>
      <c r="J271" s="48">
        <f>SUM(J239:J269)</f>
        <v>0</v>
      </c>
      <c r="K271" s="48"/>
      <c r="L271" s="52"/>
      <c r="M271" s="38"/>
    </row>
    <row r="272" spans="1:13" ht="12.75">
      <c r="A272" s="38"/>
      <c r="C272" s="37"/>
      <c r="D272" s="37"/>
      <c r="G272" s="38"/>
      <c r="J272" s="38"/>
      <c r="M272" s="38"/>
    </row>
    <row r="273" spans="1:13" ht="12.75">
      <c r="A273" s="38"/>
      <c r="C273" s="37"/>
      <c r="D273" s="37"/>
      <c r="G273" s="38"/>
      <c r="J273" s="38"/>
      <c r="M273" s="38"/>
    </row>
    <row r="274" spans="1:13" ht="12.75">
      <c r="A274" s="38" t="s">
        <v>112</v>
      </c>
      <c r="C274" s="37"/>
      <c r="D274" s="37"/>
      <c r="G274" s="38" t="s">
        <v>114</v>
      </c>
      <c r="J274" s="38"/>
      <c r="M274" s="38"/>
    </row>
    <row r="275" spans="1:13" ht="12.75">
      <c r="A275" s="41"/>
      <c r="C275" s="37"/>
      <c r="D275" s="37"/>
      <c r="F275" s="43"/>
      <c r="G275" s="38"/>
      <c r="H275" s="47"/>
      <c r="I275" s="47"/>
      <c r="J275" s="38"/>
      <c r="M275" s="38"/>
    </row>
    <row r="276" spans="1:13" ht="12.75">
      <c r="A276" s="41"/>
      <c r="B276" s="1" t="s">
        <v>110</v>
      </c>
      <c r="C276" s="37">
        <v>2300</v>
      </c>
      <c r="D276" s="37"/>
      <c r="F276" s="43"/>
      <c r="G276" s="38"/>
      <c r="H276" s="39">
        <f>J276/(100+K276)*100</f>
        <v>0</v>
      </c>
      <c r="I276" s="39">
        <f>J276/(100+K276)*K276</f>
        <v>0</v>
      </c>
      <c r="J276" s="38"/>
      <c r="K276" s="1">
        <v>19</v>
      </c>
      <c r="M276" s="38"/>
    </row>
    <row r="277" spans="1:13" ht="12.75">
      <c r="A277" s="41"/>
      <c r="B277" s="1" t="s">
        <v>110</v>
      </c>
      <c r="C277" s="37">
        <v>2301</v>
      </c>
      <c r="D277" s="37"/>
      <c r="F277" s="43"/>
      <c r="G277" s="38"/>
      <c r="H277" s="39">
        <f>J277/(100+K277)*100</f>
        <v>0</v>
      </c>
      <c r="I277" s="39">
        <f>J277/(100+K277)*K277</f>
        <v>0</v>
      </c>
      <c r="J277" s="38"/>
      <c r="K277" s="1">
        <v>19</v>
      </c>
      <c r="M277" s="38"/>
    </row>
    <row r="278" spans="1:13" ht="12.75">
      <c r="A278" s="41"/>
      <c r="B278" s="1" t="s">
        <v>110</v>
      </c>
      <c r="C278" s="37">
        <v>2302</v>
      </c>
      <c r="D278" s="37"/>
      <c r="F278" s="43"/>
      <c r="G278" s="38"/>
      <c r="H278" s="39">
        <f>J278/(100+K278)*100</f>
        <v>0</v>
      </c>
      <c r="I278" s="39">
        <f>J278/(100+K278)*K278</f>
        <v>0</v>
      </c>
      <c r="J278" s="38"/>
      <c r="K278" s="1">
        <v>19</v>
      </c>
      <c r="M278" s="38"/>
    </row>
    <row r="279" spans="1:13" ht="12.75">
      <c r="A279" s="41"/>
      <c r="B279" s="1" t="s">
        <v>110</v>
      </c>
      <c r="C279" s="37">
        <v>2303</v>
      </c>
      <c r="D279" s="37"/>
      <c r="F279" s="43"/>
      <c r="G279" s="38"/>
      <c r="H279" s="39">
        <f>J279/(100+K279)*100</f>
        <v>0</v>
      </c>
      <c r="I279" s="39">
        <f>J279/(100+K279)*K279</f>
        <v>0</v>
      </c>
      <c r="J279" s="38"/>
      <c r="K279" s="1">
        <v>19</v>
      </c>
      <c r="M279" s="38"/>
    </row>
    <row r="280" spans="1:13" ht="12.75">
      <c r="A280" s="41"/>
      <c r="B280" s="1" t="s">
        <v>110</v>
      </c>
      <c r="C280" s="37">
        <v>2304</v>
      </c>
      <c r="D280" s="37"/>
      <c r="F280" s="43"/>
      <c r="G280" s="38"/>
      <c r="H280" s="39">
        <f>J280/(100+K280)*100</f>
        <v>0</v>
      </c>
      <c r="I280" s="39">
        <f>J280/(100+K280)*K280</f>
        <v>0</v>
      </c>
      <c r="J280" s="38"/>
      <c r="K280" s="1">
        <v>19</v>
      </c>
      <c r="M280" s="38"/>
    </row>
    <row r="281" spans="1:13" ht="12.75">
      <c r="A281" s="41"/>
      <c r="B281" s="1" t="s">
        <v>110</v>
      </c>
      <c r="C281" s="37"/>
      <c r="D281" s="37"/>
      <c r="F281" s="43"/>
      <c r="G281" s="38"/>
      <c r="H281" s="39">
        <f>J281/(100+K281)*100</f>
        <v>0</v>
      </c>
      <c r="I281" s="39">
        <f>J281/(100+K281)*K281</f>
        <v>0</v>
      </c>
      <c r="J281" s="38"/>
      <c r="M281" s="38"/>
    </row>
    <row r="282" spans="1:13" ht="12.75">
      <c r="A282" s="41"/>
      <c r="B282" s="1" t="s">
        <v>110</v>
      </c>
      <c r="C282" s="37"/>
      <c r="D282" s="37"/>
      <c r="F282" s="43"/>
      <c r="G282" s="38"/>
      <c r="H282" s="39">
        <f>J282/(100+K282)*100</f>
        <v>0</v>
      </c>
      <c r="I282" s="39">
        <f>J282/(100+K282)*K282</f>
        <v>0</v>
      </c>
      <c r="J282" s="38"/>
      <c r="M282" s="38"/>
    </row>
    <row r="283" spans="1:13" ht="12.75">
      <c r="A283" s="41"/>
      <c r="B283" s="1" t="s">
        <v>110</v>
      </c>
      <c r="C283" s="37"/>
      <c r="D283" s="37"/>
      <c r="F283" s="43"/>
      <c r="G283" s="38"/>
      <c r="H283" s="39">
        <f>J283/(100+K283)*100</f>
        <v>0</v>
      </c>
      <c r="I283" s="39">
        <f>J283/(100+K283)*K283</f>
        <v>0</v>
      </c>
      <c r="J283" s="38"/>
      <c r="M283" s="38"/>
    </row>
    <row r="284" spans="1:13" ht="12.75">
      <c r="A284" s="41"/>
      <c r="B284" s="1" t="s">
        <v>110</v>
      </c>
      <c r="C284" s="37"/>
      <c r="D284" s="37"/>
      <c r="F284" s="43"/>
      <c r="G284" s="38"/>
      <c r="H284" s="39">
        <f>J284/(100+K284)*100</f>
        <v>0</v>
      </c>
      <c r="I284" s="39">
        <f>J284/(100+K284)*K284</f>
        <v>0</v>
      </c>
      <c r="J284" s="38"/>
      <c r="M284" s="38"/>
    </row>
    <row r="285" spans="1:13" ht="12.75">
      <c r="A285" s="41"/>
      <c r="B285" s="1" t="s">
        <v>110</v>
      </c>
      <c r="C285" s="37"/>
      <c r="D285" s="37"/>
      <c r="F285" s="43"/>
      <c r="G285" s="38"/>
      <c r="H285" s="39">
        <f>J285/(100+K285)*100</f>
        <v>0</v>
      </c>
      <c r="I285" s="39">
        <f>J285/(100+K285)*K285</f>
        <v>0</v>
      </c>
      <c r="J285" s="38"/>
      <c r="M285" s="38"/>
    </row>
    <row r="286" spans="1:13" ht="12.75">
      <c r="A286" s="41"/>
      <c r="B286" s="1" t="s">
        <v>110</v>
      </c>
      <c r="C286" s="37"/>
      <c r="D286" s="37"/>
      <c r="F286" s="43"/>
      <c r="G286" s="38"/>
      <c r="H286" s="39">
        <f>J286/(100+K286)*100</f>
        <v>0</v>
      </c>
      <c r="I286" s="39">
        <f>J286/(100+K286)*K286</f>
        <v>0</v>
      </c>
      <c r="J286" s="38"/>
      <c r="M286" s="38"/>
    </row>
    <row r="287" spans="1:13" ht="12.75">
      <c r="A287" s="41"/>
      <c r="B287" s="1" t="s">
        <v>110</v>
      </c>
      <c r="C287" s="37"/>
      <c r="D287" s="37"/>
      <c r="F287" s="43"/>
      <c r="G287" s="38"/>
      <c r="H287" s="39">
        <f>J287/(100+K287)*100</f>
        <v>0</v>
      </c>
      <c r="I287" s="39">
        <f>J287/(100+K287)*K287</f>
        <v>0</v>
      </c>
      <c r="J287" s="38"/>
      <c r="M287" s="38"/>
    </row>
    <row r="288" spans="1:13" ht="12.75">
      <c r="A288" s="41"/>
      <c r="B288" s="1" t="s">
        <v>110</v>
      </c>
      <c r="C288" s="37"/>
      <c r="D288" s="37"/>
      <c r="F288" s="43"/>
      <c r="G288" s="38"/>
      <c r="H288" s="39">
        <f>J288/(100+K288)*100</f>
        <v>0</v>
      </c>
      <c r="I288" s="39">
        <f>J288/(100+K288)*K288</f>
        <v>0</v>
      </c>
      <c r="J288" s="38"/>
      <c r="M288" s="38"/>
    </row>
    <row r="289" spans="1:13" ht="12.75">
      <c r="A289" s="41"/>
      <c r="B289" s="1" t="s">
        <v>110</v>
      </c>
      <c r="C289" s="37"/>
      <c r="D289" s="37"/>
      <c r="F289" s="43"/>
      <c r="G289" s="38"/>
      <c r="H289" s="39">
        <f>J289/(100+K289)*100</f>
        <v>0</v>
      </c>
      <c r="I289" s="39">
        <f>J289/(100+K289)*K289</f>
        <v>0</v>
      </c>
      <c r="J289" s="38"/>
      <c r="M289" s="38"/>
    </row>
    <row r="290" spans="1:13" ht="12.75">
      <c r="A290" s="41"/>
      <c r="B290" s="1" t="s">
        <v>110</v>
      </c>
      <c r="C290" s="37"/>
      <c r="D290" s="37"/>
      <c r="F290" s="43"/>
      <c r="G290" s="38"/>
      <c r="H290" s="39">
        <f>J290/(100+K290)*100</f>
        <v>0</v>
      </c>
      <c r="I290" s="39">
        <f>J290/(100+K290)*K290</f>
        <v>0</v>
      </c>
      <c r="J290" s="38"/>
      <c r="M290" s="38"/>
    </row>
    <row r="291" spans="1:13" ht="12.75">
      <c r="A291" s="41"/>
      <c r="B291" s="1" t="s">
        <v>110</v>
      </c>
      <c r="C291" s="37"/>
      <c r="D291" s="37"/>
      <c r="F291" s="43"/>
      <c r="G291" s="38"/>
      <c r="H291" s="39">
        <f>J291/(100+K291)*100</f>
        <v>0</v>
      </c>
      <c r="I291" s="39">
        <f>J291/(100+K291)*K291</f>
        <v>0</v>
      </c>
      <c r="J291" s="38"/>
      <c r="M291" s="38"/>
    </row>
    <row r="292" spans="1:13" ht="12.75">
      <c r="A292" s="41"/>
      <c r="B292" s="1" t="s">
        <v>110</v>
      </c>
      <c r="C292" s="37"/>
      <c r="D292" s="37"/>
      <c r="F292" s="43"/>
      <c r="G292" s="38"/>
      <c r="H292" s="39">
        <f>J292/(100+K292)*100</f>
        <v>0</v>
      </c>
      <c r="I292" s="39">
        <f>J292/(100+K292)*K292</f>
        <v>0</v>
      </c>
      <c r="J292" s="38"/>
      <c r="M292" s="38"/>
    </row>
    <row r="293" spans="1:13" ht="12.75">
      <c r="A293" s="41"/>
      <c r="B293" s="1" t="s">
        <v>110</v>
      </c>
      <c r="C293" s="37"/>
      <c r="D293" s="37"/>
      <c r="F293" s="43"/>
      <c r="G293" s="38"/>
      <c r="H293" s="39">
        <f>J293/(100+K293)*100</f>
        <v>0</v>
      </c>
      <c r="I293" s="39">
        <f>J293/(100+K293)*K293</f>
        <v>0</v>
      </c>
      <c r="J293" s="38"/>
      <c r="M293" s="38"/>
    </row>
    <row r="294" spans="1:13" ht="12.75">
      <c r="A294" s="41"/>
      <c r="B294" s="1" t="s">
        <v>110</v>
      </c>
      <c r="C294" s="37"/>
      <c r="D294" s="37"/>
      <c r="F294" s="43"/>
      <c r="G294" s="38"/>
      <c r="H294" s="39">
        <f>J294/(100+K294)*100</f>
        <v>0</v>
      </c>
      <c r="I294" s="39">
        <f>J294/(100+K294)*K294</f>
        <v>0</v>
      </c>
      <c r="J294" s="38"/>
      <c r="M294" s="38"/>
    </row>
    <row r="295" spans="1:13" ht="12.75">
      <c r="A295" s="41"/>
      <c r="B295" s="1" t="s">
        <v>110</v>
      </c>
      <c r="C295" s="37"/>
      <c r="D295" s="37"/>
      <c r="F295" s="43"/>
      <c r="G295" s="38"/>
      <c r="H295" s="39">
        <f>J295/(100+K295)*100</f>
        <v>0</v>
      </c>
      <c r="I295" s="39">
        <f>J295/(100+K295)*K295</f>
        <v>0</v>
      </c>
      <c r="J295" s="38"/>
      <c r="M295" s="38"/>
    </row>
    <row r="296" spans="1:13" ht="12.75">
      <c r="A296" s="41"/>
      <c r="B296" s="1" t="s">
        <v>110</v>
      </c>
      <c r="C296" s="37"/>
      <c r="D296" s="37"/>
      <c r="F296" s="43"/>
      <c r="G296" s="38"/>
      <c r="H296" s="39">
        <f>J296/(100+K296)*100</f>
        <v>0</v>
      </c>
      <c r="I296" s="39">
        <f>J296/(100+K296)*K296</f>
        <v>0</v>
      </c>
      <c r="J296" s="38"/>
      <c r="M296" s="38"/>
    </row>
    <row r="297" spans="1:13" ht="12.75">
      <c r="A297" s="41"/>
      <c r="B297" s="1" t="s">
        <v>110</v>
      </c>
      <c r="C297" s="37"/>
      <c r="D297" s="37"/>
      <c r="F297" s="43"/>
      <c r="G297" s="38"/>
      <c r="H297" s="39">
        <f>J297/(100+K297)*100</f>
        <v>0</v>
      </c>
      <c r="I297" s="39">
        <f>J297/(100+K297)*K297</f>
        <v>0</v>
      </c>
      <c r="J297" s="38"/>
      <c r="M297" s="38"/>
    </row>
    <row r="298" spans="1:13" ht="12.75">
      <c r="A298" s="41"/>
      <c r="B298" s="1" t="s">
        <v>110</v>
      </c>
      <c r="C298" s="37"/>
      <c r="D298" s="37"/>
      <c r="F298" s="43"/>
      <c r="G298" s="38"/>
      <c r="H298" s="39">
        <f>J298/(100+K298)*100</f>
        <v>0</v>
      </c>
      <c r="I298" s="39">
        <f>J298/(100+K298)*K298</f>
        <v>0</v>
      </c>
      <c r="J298" s="38"/>
      <c r="M298" s="38"/>
    </row>
    <row r="299" spans="1:13" ht="12.75">
      <c r="A299" s="41"/>
      <c r="B299" s="1" t="s">
        <v>110</v>
      </c>
      <c r="C299" s="37"/>
      <c r="D299" s="37"/>
      <c r="F299" s="43"/>
      <c r="G299" s="38"/>
      <c r="H299" s="39">
        <f>J299/(100+K299)*100</f>
        <v>0</v>
      </c>
      <c r="I299" s="39">
        <f>J299/(100+K299)*K299</f>
        <v>0</v>
      </c>
      <c r="J299" s="38"/>
      <c r="M299" s="38"/>
    </row>
    <row r="300" spans="1:13" ht="12.75">
      <c r="A300" s="41"/>
      <c r="B300" s="1" t="s">
        <v>110</v>
      </c>
      <c r="C300" s="37"/>
      <c r="D300" s="37"/>
      <c r="F300" s="43"/>
      <c r="G300" s="38"/>
      <c r="H300" s="39">
        <f>J300/(100+K300)*100</f>
        <v>0</v>
      </c>
      <c r="I300" s="39">
        <f>J300/(100+K300)*K300</f>
        <v>0</v>
      </c>
      <c r="J300" s="38"/>
      <c r="M300" s="38"/>
    </row>
    <row r="301" spans="1:13" ht="12.75">
      <c r="A301" s="41"/>
      <c r="B301" s="1" t="s">
        <v>110</v>
      </c>
      <c r="C301" s="37"/>
      <c r="D301" s="37"/>
      <c r="F301" s="43"/>
      <c r="G301" s="38"/>
      <c r="H301" s="39">
        <f>J301/(100+K301)*100</f>
        <v>0</v>
      </c>
      <c r="I301" s="39">
        <f>J301/(100+K301)*K301</f>
        <v>0</v>
      </c>
      <c r="J301" s="38"/>
      <c r="M301" s="38"/>
    </row>
    <row r="302" spans="1:13" ht="12.75">
      <c r="A302" s="41"/>
      <c r="B302" s="1" t="s">
        <v>110</v>
      </c>
      <c r="C302" s="37"/>
      <c r="D302" s="37"/>
      <c r="F302" s="43"/>
      <c r="G302" s="38"/>
      <c r="H302" s="39">
        <f>J302/(100+K302)*100</f>
        <v>0</v>
      </c>
      <c r="I302" s="39">
        <f>J302/(100+K302)*K302</f>
        <v>0</v>
      </c>
      <c r="J302" s="38"/>
      <c r="M302" s="38"/>
    </row>
    <row r="303" spans="1:13" ht="12.75">
      <c r="A303" s="41"/>
      <c r="B303" s="1" t="s">
        <v>110</v>
      </c>
      <c r="C303" s="37"/>
      <c r="D303" s="37"/>
      <c r="F303" s="43"/>
      <c r="G303" s="38"/>
      <c r="H303" s="39">
        <f>J303/(100+K303)*100</f>
        <v>0</v>
      </c>
      <c r="I303" s="39">
        <f>J303/(100+K303)*K303</f>
        <v>0</v>
      </c>
      <c r="J303" s="38"/>
      <c r="M303" s="38"/>
    </row>
    <row r="304" spans="1:13" ht="12.75">
      <c r="A304" s="41"/>
      <c r="B304" s="1" t="s">
        <v>110</v>
      </c>
      <c r="C304" s="37"/>
      <c r="D304" s="37"/>
      <c r="F304" s="43"/>
      <c r="G304" s="38"/>
      <c r="H304" s="39">
        <f>J304/(100+K304)*100</f>
        <v>0</v>
      </c>
      <c r="I304" s="39">
        <f>J304/(100+K304)*K304</f>
        <v>0</v>
      </c>
      <c r="J304" s="38"/>
      <c r="M304" s="38"/>
    </row>
    <row r="305" spans="1:13" ht="12.75">
      <c r="A305" s="41"/>
      <c r="B305" s="1" t="s">
        <v>110</v>
      </c>
      <c r="C305" s="37"/>
      <c r="D305" s="37"/>
      <c r="F305" s="43"/>
      <c r="G305" s="38"/>
      <c r="H305" s="39">
        <f>J305/(100+K305)*100</f>
        <v>0</v>
      </c>
      <c r="I305" s="39">
        <f>J305/(100+K305)*K305</f>
        <v>0</v>
      </c>
      <c r="J305" s="38"/>
      <c r="M305" s="38"/>
    </row>
    <row r="306" spans="1:13" ht="12.75">
      <c r="A306" s="41"/>
      <c r="B306" s="1" t="s">
        <v>110</v>
      </c>
      <c r="C306" s="37"/>
      <c r="D306" s="37"/>
      <c r="F306" s="43"/>
      <c r="G306" s="38"/>
      <c r="H306" s="39">
        <f>J306/(100+K306)*100</f>
        <v>0</v>
      </c>
      <c r="I306" s="39">
        <f>J306/(100+K306)*K306</f>
        <v>0</v>
      </c>
      <c r="J306" s="38"/>
      <c r="M306" s="38"/>
    </row>
    <row r="307" spans="1:13" ht="12.75">
      <c r="A307" s="41"/>
      <c r="C307" s="37"/>
      <c r="D307" s="37"/>
      <c r="F307" s="43"/>
      <c r="G307" s="38"/>
      <c r="H307" s="47"/>
      <c r="I307" s="47"/>
      <c r="J307" s="38"/>
      <c r="M307" s="38"/>
    </row>
    <row r="308" spans="1:13" ht="12.75">
      <c r="A308" s="58" t="s">
        <v>106</v>
      </c>
      <c r="B308" s="48" t="s">
        <v>111</v>
      </c>
      <c r="C308" s="49"/>
      <c r="D308" s="49"/>
      <c r="E308" s="48"/>
      <c r="F308" s="50"/>
      <c r="G308" s="48"/>
      <c r="H308" s="51">
        <f>SUM(H276:H306)</f>
        <v>0</v>
      </c>
      <c r="I308" s="51">
        <f>SUM(I276:I306)</f>
        <v>0</v>
      </c>
      <c r="J308" s="48">
        <f>SUM(J276:J306)</f>
        <v>0</v>
      </c>
      <c r="K308" s="48"/>
      <c r="L308" s="52"/>
      <c r="M308" s="38"/>
    </row>
    <row r="309" spans="1:13" ht="12.75">
      <c r="A309" s="38"/>
      <c r="C309" s="37"/>
      <c r="D309" s="37"/>
      <c r="G309" s="38"/>
      <c r="J309" s="38"/>
      <c r="M309" s="38"/>
    </row>
    <row r="310" spans="1:13" ht="12.75">
      <c r="A310" s="38"/>
      <c r="C310" s="37"/>
      <c r="D310" s="37"/>
      <c r="G310" s="38"/>
      <c r="J310" s="38"/>
      <c r="M310" s="38"/>
    </row>
    <row r="311" spans="1:13" ht="12.75">
      <c r="A311" s="38"/>
      <c r="C311" s="37"/>
      <c r="D311" s="37"/>
      <c r="G311" s="38"/>
      <c r="J311" s="38"/>
      <c r="M311" s="38"/>
    </row>
    <row r="312" spans="1:13" ht="12.75">
      <c r="A312" s="38"/>
      <c r="C312" s="37"/>
      <c r="D312" s="37"/>
      <c r="G312" s="38"/>
      <c r="J312" s="38"/>
      <c r="M312" s="38"/>
    </row>
    <row r="313" spans="1:13" ht="12.75">
      <c r="A313" s="38"/>
      <c r="G313" s="38"/>
      <c r="J313" s="38"/>
      <c r="M313" s="38"/>
    </row>
    <row r="314" spans="1:13" ht="12.75">
      <c r="A314" s="59" t="s">
        <v>115</v>
      </c>
      <c r="G314" s="38"/>
      <c r="J314" s="38"/>
      <c r="M314" s="38"/>
    </row>
    <row r="315" spans="1:13" ht="12.75">
      <c r="A315" s="38"/>
      <c r="B315" s="1" t="s">
        <v>116</v>
      </c>
      <c r="G315" s="38"/>
      <c r="J315" s="38"/>
      <c r="M315" s="38"/>
    </row>
    <row r="316" spans="1:13" ht="12.75">
      <c r="A316" s="60"/>
      <c r="B316" s="60"/>
      <c r="C316" s="60"/>
      <c r="D316" s="60"/>
      <c r="E316" s="60"/>
      <c r="F316" s="60"/>
      <c r="G316" s="61"/>
      <c r="J316" s="38"/>
      <c r="M316" s="38"/>
    </row>
    <row r="317" ht="12.75">
      <c r="A317" s="17" t="s">
        <v>32</v>
      </c>
    </row>
    <row r="318" ht="12.75">
      <c r="A318" s="17" t="s">
        <v>33</v>
      </c>
    </row>
    <row r="319" ht="12.75">
      <c r="A319" s="1" t="s">
        <v>34</v>
      </c>
    </row>
    <row r="320" ht="12.75">
      <c r="A320" s="1" t="s">
        <v>35</v>
      </c>
    </row>
    <row r="321" ht="12.75">
      <c r="A321" s="1" t="s">
        <v>48</v>
      </c>
    </row>
    <row r="322" ht="12.75">
      <c r="A322" s="17" t="s">
        <v>37</v>
      </c>
    </row>
    <row r="324" ht="12.75">
      <c r="A324" s="17" t="s">
        <v>38</v>
      </c>
    </row>
    <row r="325" ht="12.75">
      <c r="A325" s="1" t="s">
        <v>39</v>
      </c>
    </row>
    <row r="326" ht="12.75">
      <c r="A326" s="1" t="s">
        <v>40</v>
      </c>
    </row>
    <row r="327" ht="12.75">
      <c r="A327" s="1" t="s">
        <v>49</v>
      </c>
    </row>
    <row r="328" ht="12.75">
      <c r="A328" s="17" t="s">
        <v>42</v>
      </c>
    </row>
    <row r="330" spans="1:2" ht="12.75">
      <c r="A330"/>
      <c r="B330" s="18" t="s">
        <v>43</v>
      </c>
    </row>
    <row r="331" spans="1:2" ht="12.75">
      <c r="A331"/>
      <c r="B331" s="19" t="s">
        <v>44</v>
      </c>
    </row>
    <row r="332" spans="1:4" ht="12.75">
      <c r="A332"/>
      <c r="B332" s="20">
        <v>4917621008967</v>
      </c>
      <c r="C332" s="20"/>
      <c r="D332" s="20"/>
    </row>
    <row r="334" ht="12.75">
      <c r="B334" s="21" t="s">
        <v>45</v>
      </c>
    </row>
  </sheetData>
  <sheetProtection selectLockedCells="1" selectUnlockedCells="1"/>
  <mergeCells count="1">
    <mergeCell ref="B332:D332"/>
  </mergeCells>
  <hyperlinks>
    <hyperlink ref="B331" r:id="rId1" display="office@arminfischer.com"/>
    <hyperlink ref="B334" r:id="rId2" display="http://Computerservice.arminfischer.com"/>
  </hyperlinks>
  <printOptions gridLines="1"/>
  <pageMargins left="0.7479166666666667" right="0.7479166666666667" top="0.9840277777777777" bottom="0.9840277777777777" header="0.5118055555555555" footer="0"/>
  <pageSetup horizontalDpi="300" verticalDpi="300" orientation="landscape" paperSize="9" scale="80"/>
  <headerFooter alignWithMargins="0">
    <oddFooter>&amp;C&amp;10Seite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26"/>
  <sheetViews>
    <sheetView workbookViewId="0" topLeftCell="A1">
      <selection activeCell="G16" sqref="G16"/>
    </sheetView>
  </sheetViews>
  <sheetFormatPr defaultColWidth="9.77734375" defaultRowHeight="15"/>
  <cols>
    <col min="1" max="1" width="10.6640625" style="1" customWidth="1"/>
    <col min="2" max="2" width="8.5546875" style="1" customWidth="1"/>
    <col min="3" max="3" width="6.6640625" style="1" customWidth="1"/>
    <col min="4" max="4" width="8.21484375" style="1" customWidth="1"/>
    <col min="5" max="5" width="16.99609375" style="1" customWidth="1"/>
    <col min="6" max="6" width="6.6640625" style="1" customWidth="1"/>
    <col min="7" max="7" width="48.3359375" style="1" customWidth="1"/>
    <col min="8" max="8" width="10.6640625" style="1" customWidth="1"/>
    <col min="9" max="9" width="11.21484375" style="1" customWidth="1"/>
    <col min="10" max="10" width="10.6640625" style="1" customWidth="1"/>
    <col min="11" max="11" width="6.6640625" style="1" customWidth="1"/>
    <col min="12" max="16384" width="9.6640625" style="1" customWidth="1"/>
  </cols>
  <sheetData>
    <row r="1" s="30" customFormat="1" ht="12.75">
      <c r="B1" s="31" t="s">
        <v>87</v>
      </c>
    </row>
    <row r="2" spans="2:5" s="30" customFormat="1" ht="12.75">
      <c r="B2" s="30" t="s">
        <v>117</v>
      </c>
      <c r="E2" s="30">
        <v>2024</v>
      </c>
    </row>
    <row r="3" s="30" customFormat="1" ht="12.75"/>
    <row r="4" s="30" customFormat="1" ht="12.75"/>
    <row r="5" s="30" customFormat="1" ht="12.75"/>
    <row r="6" s="30" customFormat="1" ht="12.75"/>
    <row r="7" s="30" customFormat="1" ht="12.75">
      <c r="B7" s="33" t="s">
        <v>118</v>
      </c>
    </row>
    <row r="8" s="30" customFormat="1" ht="12.75"/>
    <row r="9" spans="1:13" s="34" customFormat="1" ht="12.75">
      <c r="A9" s="34" t="s">
        <v>90</v>
      </c>
      <c r="B9" s="34" t="s">
        <v>91</v>
      </c>
      <c r="C9" s="34" t="s">
        <v>92</v>
      </c>
      <c r="D9" s="34" t="s">
        <v>93</v>
      </c>
      <c r="E9" s="35" t="s">
        <v>94</v>
      </c>
      <c r="F9" s="35" t="s">
        <v>95</v>
      </c>
      <c r="G9" s="34" t="s">
        <v>96</v>
      </c>
      <c r="H9" s="35" t="s">
        <v>97</v>
      </c>
      <c r="I9" s="34" t="s">
        <v>119</v>
      </c>
      <c r="J9" s="35" t="s">
        <v>99</v>
      </c>
      <c r="K9" s="34" t="s">
        <v>100</v>
      </c>
      <c r="M9" s="34" t="s">
        <v>102</v>
      </c>
    </row>
    <row r="10" spans="1:4" ht="12.75">
      <c r="A10" s="4"/>
      <c r="C10" s="37"/>
      <c r="D10" s="37"/>
    </row>
    <row r="11" spans="1:11" ht="12.75">
      <c r="A11" s="62"/>
      <c r="B11" s="1" t="s">
        <v>120</v>
      </c>
      <c r="C11" s="37">
        <v>3000</v>
      </c>
      <c r="D11" s="37"/>
      <c r="G11" s="38"/>
      <c r="H11" s="39">
        <f>J11/(100+K11)*100</f>
        <v>0</v>
      </c>
      <c r="I11" s="39">
        <f>J11/(100+K11)*K11</f>
        <v>0</v>
      </c>
      <c r="J11" s="40">
        <v>0</v>
      </c>
      <c r="K11" s="1">
        <v>19</v>
      </c>
    </row>
    <row r="12" spans="1:11" ht="12.75">
      <c r="A12" s="44"/>
      <c r="B12" s="1" t="s">
        <v>120</v>
      </c>
      <c r="C12" s="37">
        <v>3001</v>
      </c>
      <c r="D12" s="37"/>
      <c r="G12" s="38"/>
      <c r="H12" s="39">
        <f>J12/(100+K12)*100</f>
        <v>0</v>
      </c>
      <c r="I12" s="39">
        <f>J12/(100+K12)*K12</f>
        <v>0</v>
      </c>
      <c r="J12" s="40">
        <v>0</v>
      </c>
      <c r="K12" s="1">
        <v>19</v>
      </c>
    </row>
    <row r="13" spans="1:11" ht="12.75">
      <c r="A13" s="44"/>
      <c r="B13" s="1" t="s">
        <v>120</v>
      </c>
      <c r="C13" s="37">
        <v>3002</v>
      </c>
      <c r="D13" s="37"/>
      <c r="G13" s="38"/>
      <c r="H13" s="39">
        <f>J13/(100+K13)*100</f>
        <v>0</v>
      </c>
      <c r="I13" s="39">
        <f>J13/(100+K13)*K13</f>
        <v>0</v>
      </c>
      <c r="J13" s="40">
        <v>0</v>
      </c>
      <c r="K13" s="1">
        <v>19</v>
      </c>
    </row>
    <row r="14" spans="1:11" ht="12.75">
      <c r="A14" s="44"/>
      <c r="B14" s="1" t="s">
        <v>120</v>
      </c>
      <c r="C14" s="37">
        <v>3003</v>
      </c>
      <c r="D14" s="37"/>
      <c r="G14" s="38"/>
      <c r="H14" s="39">
        <f>J14/(100+K14)*100</f>
        <v>0</v>
      </c>
      <c r="I14" s="39">
        <f>J14/(100+K14)*K14</f>
        <v>0</v>
      </c>
      <c r="J14" s="40">
        <v>0</v>
      </c>
      <c r="K14" s="1">
        <v>19</v>
      </c>
    </row>
    <row r="15" spans="1:11" ht="12.75">
      <c r="A15" s="44"/>
      <c r="B15" s="1" t="s">
        <v>120</v>
      </c>
      <c r="C15" s="37">
        <v>3004</v>
      </c>
      <c r="D15" s="37"/>
      <c r="G15" s="38"/>
      <c r="H15" s="39">
        <f>J15/(100+K15)*100</f>
        <v>0</v>
      </c>
      <c r="I15" s="39">
        <f>J15/(100+K15)*K15</f>
        <v>0</v>
      </c>
      <c r="J15" s="40">
        <v>0</v>
      </c>
      <c r="K15" s="1">
        <v>19</v>
      </c>
    </row>
    <row r="16" spans="1:11" ht="12.75">
      <c r="A16" s="44"/>
      <c r="B16" s="1" t="s">
        <v>120</v>
      </c>
      <c r="C16" s="37">
        <v>3005</v>
      </c>
      <c r="D16" s="37"/>
      <c r="G16" s="38"/>
      <c r="H16" s="39">
        <f>J16/(100+K16)*100</f>
        <v>0</v>
      </c>
      <c r="I16" s="39">
        <f>J16/(100+K16)*K16</f>
        <v>0</v>
      </c>
      <c r="J16" s="40">
        <v>0</v>
      </c>
      <c r="K16" s="1">
        <v>19</v>
      </c>
    </row>
    <row r="17" spans="1:11" ht="12.75">
      <c r="A17" s="44"/>
      <c r="B17" s="1" t="s">
        <v>120</v>
      </c>
      <c r="C17" s="37">
        <v>3006</v>
      </c>
      <c r="D17" s="37"/>
      <c r="G17" s="38"/>
      <c r="H17" s="39">
        <f>J17/(100+K17)*100</f>
        <v>0</v>
      </c>
      <c r="I17" s="39">
        <f>J17/(100+K17)*K17</f>
        <v>0</v>
      </c>
      <c r="J17" s="40">
        <v>0</v>
      </c>
      <c r="K17" s="1">
        <v>19</v>
      </c>
    </row>
    <row r="18" spans="1:11" ht="12.75">
      <c r="A18" s="44"/>
      <c r="B18" s="1" t="s">
        <v>120</v>
      </c>
      <c r="C18" s="37">
        <v>3007</v>
      </c>
      <c r="D18" s="37"/>
      <c r="G18" s="38"/>
      <c r="H18" s="39">
        <f>J18/(100+K18)*100</f>
        <v>0</v>
      </c>
      <c r="I18" s="39">
        <f>J18/(100+K18)*K18</f>
        <v>0</v>
      </c>
      <c r="J18" s="40">
        <v>0</v>
      </c>
      <c r="K18" s="1">
        <v>19</v>
      </c>
    </row>
    <row r="19" spans="1:11" ht="12.75">
      <c r="A19" s="44"/>
      <c r="B19" s="1" t="s">
        <v>120</v>
      </c>
      <c r="C19" s="37">
        <v>3008</v>
      </c>
      <c r="D19" s="37"/>
      <c r="G19" s="38"/>
      <c r="H19" s="39">
        <f>J19/(100+K19)*100</f>
        <v>0</v>
      </c>
      <c r="I19" s="39">
        <f>J19/(100+K19)*K19</f>
        <v>0</v>
      </c>
      <c r="J19" s="40">
        <v>0</v>
      </c>
      <c r="K19" s="1">
        <v>19</v>
      </c>
    </row>
    <row r="20" spans="1:11" ht="12.75">
      <c r="A20" s="44"/>
      <c r="B20" s="1" t="s">
        <v>120</v>
      </c>
      <c r="C20" s="37">
        <v>3009</v>
      </c>
      <c r="D20" s="37"/>
      <c r="G20" s="38"/>
      <c r="H20" s="39">
        <f>J20/(100+K20)*100</f>
        <v>0</v>
      </c>
      <c r="I20" s="39">
        <f>J20/(100+K20)*K20</f>
        <v>0</v>
      </c>
      <c r="J20" s="40">
        <v>0</v>
      </c>
      <c r="K20" s="1">
        <v>19</v>
      </c>
    </row>
    <row r="21" spans="1:11" ht="12.75">
      <c r="A21" s="44"/>
      <c r="B21" s="1" t="s">
        <v>120</v>
      </c>
      <c r="C21" s="37">
        <v>3010</v>
      </c>
      <c r="D21" s="37"/>
      <c r="G21" s="38"/>
      <c r="H21" s="39">
        <f>J21/(100+K21)*100</f>
        <v>0</v>
      </c>
      <c r="I21" s="39">
        <f>J21/(100+K21)*K21</f>
        <v>0</v>
      </c>
      <c r="J21" s="40">
        <v>0</v>
      </c>
      <c r="K21" s="1">
        <v>19</v>
      </c>
    </row>
    <row r="22" spans="1:11" ht="12.75">
      <c r="A22" s="44"/>
      <c r="B22" s="1" t="s">
        <v>120</v>
      </c>
      <c r="C22" s="37">
        <v>3011</v>
      </c>
      <c r="D22" s="37"/>
      <c r="G22" s="38"/>
      <c r="H22" s="39">
        <f>J22/(100+K22)*100</f>
        <v>0</v>
      </c>
      <c r="I22" s="39">
        <f>J22/(100+K22)*K22</f>
        <v>0</v>
      </c>
      <c r="J22" s="40">
        <v>0</v>
      </c>
      <c r="K22" s="1">
        <v>19</v>
      </c>
    </row>
    <row r="23" spans="1:11" ht="12.75">
      <c r="A23" s="44"/>
      <c r="B23" s="1" t="s">
        <v>120</v>
      </c>
      <c r="C23" s="37">
        <v>3012</v>
      </c>
      <c r="D23" s="37"/>
      <c r="G23" s="38"/>
      <c r="H23" s="39">
        <f>J23/(100+K23)*100</f>
        <v>0</v>
      </c>
      <c r="I23" s="39">
        <f>J23/(100+K23)*K23</f>
        <v>0</v>
      </c>
      <c r="J23" s="40">
        <v>0</v>
      </c>
      <c r="K23" s="1">
        <v>19</v>
      </c>
    </row>
    <row r="24" spans="1:11" ht="12.75">
      <c r="A24" s="44"/>
      <c r="B24" s="1" t="s">
        <v>120</v>
      </c>
      <c r="C24" s="37">
        <v>3013</v>
      </c>
      <c r="D24" s="37"/>
      <c r="G24" s="38"/>
      <c r="H24" s="39">
        <f>J24/(100+K24)*100</f>
        <v>0</v>
      </c>
      <c r="I24" s="39">
        <f>J24/(100+K24)*K24</f>
        <v>0</v>
      </c>
      <c r="J24" s="40">
        <v>0</v>
      </c>
      <c r="K24" s="1">
        <v>19</v>
      </c>
    </row>
    <row r="25" spans="1:11" ht="12.75">
      <c r="A25" s="44"/>
      <c r="B25" s="1" t="s">
        <v>120</v>
      </c>
      <c r="C25" s="37">
        <v>3014</v>
      </c>
      <c r="D25" s="37"/>
      <c r="G25" s="46"/>
      <c r="H25" s="39">
        <f>J25/(100+K25)*100</f>
        <v>0</v>
      </c>
      <c r="I25" s="39">
        <f>J25/(100+K25)*K25</f>
        <v>0</v>
      </c>
      <c r="J25" s="40">
        <v>0</v>
      </c>
      <c r="K25" s="1">
        <v>19</v>
      </c>
    </row>
    <row r="26" spans="1:11" ht="12.75">
      <c r="A26" s="41"/>
      <c r="B26" s="1" t="s">
        <v>120</v>
      </c>
      <c r="C26" s="37">
        <v>3015</v>
      </c>
      <c r="D26" s="37"/>
      <c r="E26" s="45"/>
      <c r="G26" s="38"/>
      <c r="H26" s="39">
        <f>J26/(100+K26)*100</f>
        <v>0</v>
      </c>
      <c r="I26" s="39">
        <f>J26/(100+K26)*K26</f>
        <v>0</v>
      </c>
      <c r="J26" s="40">
        <v>0</v>
      </c>
      <c r="K26" s="1">
        <v>19</v>
      </c>
    </row>
    <row r="27" spans="1:11" ht="12.75">
      <c r="A27" s="44"/>
      <c r="B27" s="1" t="s">
        <v>120</v>
      </c>
      <c r="C27" s="37">
        <v>3016</v>
      </c>
      <c r="D27" s="37"/>
      <c r="G27" s="38"/>
      <c r="H27" s="39">
        <f>J27/(100+K27)*100</f>
        <v>0</v>
      </c>
      <c r="I27" s="39">
        <f>J27/(100+K27)*K27</f>
        <v>0</v>
      </c>
      <c r="J27" s="40">
        <v>0</v>
      </c>
      <c r="K27" s="1">
        <v>19</v>
      </c>
    </row>
    <row r="28" spans="1:11" ht="12.75">
      <c r="A28" s="44"/>
      <c r="B28" s="1" t="s">
        <v>120</v>
      </c>
      <c r="C28" s="37">
        <v>3017</v>
      </c>
      <c r="D28" s="37"/>
      <c r="G28" s="38"/>
      <c r="H28" s="39">
        <f>J28/(100+K28)*100</f>
        <v>0</v>
      </c>
      <c r="I28" s="39">
        <f>J28/(100+K28)*K28</f>
        <v>0</v>
      </c>
      <c r="J28" s="40">
        <v>0</v>
      </c>
      <c r="K28" s="1">
        <v>19</v>
      </c>
    </row>
    <row r="29" spans="1:11" ht="12.75">
      <c r="A29" s="44"/>
      <c r="B29" s="1" t="s">
        <v>120</v>
      </c>
      <c r="C29" s="37">
        <v>3018</v>
      </c>
      <c r="D29" s="37"/>
      <c r="G29" s="46"/>
      <c r="H29" s="39">
        <f>J29/(100+K29)*100</f>
        <v>0</v>
      </c>
      <c r="I29" s="39">
        <f>J29/(100+K29)*K29</f>
        <v>0</v>
      </c>
      <c r="J29" s="40">
        <v>0</v>
      </c>
      <c r="K29" s="1">
        <v>19</v>
      </c>
    </row>
    <row r="30" spans="1:11" ht="12.75">
      <c r="A30" s="44"/>
      <c r="B30" s="1" t="s">
        <v>120</v>
      </c>
      <c r="C30" s="37">
        <v>3019</v>
      </c>
      <c r="D30" s="37"/>
      <c r="G30" s="38"/>
      <c r="H30" s="39">
        <f>J30/(100+K30)*100</f>
        <v>0</v>
      </c>
      <c r="I30" s="39">
        <f>J30/(100+K30)*K30</f>
        <v>0</v>
      </c>
      <c r="J30" s="40">
        <v>0</v>
      </c>
      <c r="K30" s="1">
        <v>19</v>
      </c>
    </row>
    <row r="31" spans="1:11" ht="12.75">
      <c r="A31" s="44"/>
      <c r="B31" s="1" t="s">
        <v>120</v>
      </c>
      <c r="C31" s="37">
        <v>3020</v>
      </c>
      <c r="D31" s="37"/>
      <c r="G31" s="38"/>
      <c r="H31" s="39">
        <f>J31/(100+K31)*100</f>
        <v>0</v>
      </c>
      <c r="I31" s="39">
        <f>J31/(100+K31)*K31</f>
        <v>0</v>
      </c>
      <c r="J31" s="40">
        <v>0</v>
      </c>
      <c r="K31" s="1">
        <v>19</v>
      </c>
    </row>
    <row r="32" spans="1:11" ht="12.75">
      <c r="A32" s="44"/>
      <c r="B32" s="1" t="s">
        <v>120</v>
      </c>
      <c r="C32" s="37">
        <v>3021</v>
      </c>
      <c r="D32" s="37"/>
      <c r="G32" s="38"/>
      <c r="H32" s="39">
        <f>J32/(100+K32)*100</f>
        <v>0</v>
      </c>
      <c r="I32" s="39">
        <f>J32/(100+K32)*K32</f>
        <v>0</v>
      </c>
      <c r="J32" s="40">
        <v>0</v>
      </c>
      <c r="K32" s="1">
        <v>19</v>
      </c>
    </row>
    <row r="33" spans="1:11" ht="12.75">
      <c r="A33" s="44"/>
      <c r="B33" s="1" t="s">
        <v>120</v>
      </c>
      <c r="C33" s="37">
        <v>3022</v>
      </c>
      <c r="D33" s="37"/>
      <c r="G33" s="38"/>
      <c r="H33" s="39">
        <f>J33/(100+K33)*100</f>
        <v>0</v>
      </c>
      <c r="I33" s="39">
        <f>J33/(100+K33)*K33</f>
        <v>0</v>
      </c>
      <c r="J33" s="40">
        <v>0</v>
      </c>
      <c r="K33" s="1">
        <v>19</v>
      </c>
    </row>
    <row r="34" spans="1:11" ht="12.75">
      <c r="A34" s="41"/>
      <c r="B34" s="1" t="s">
        <v>120</v>
      </c>
      <c r="C34" s="37">
        <v>3023</v>
      </c>
      <c r="D34" s="37"/>
      <c r="G34" s="38"/>
      <c r="H34" s="39">
        <f>J34/(100+K34)*100</f>
        <v>0</v>
      </c>
      <c r="I34" s="39">
        <f>J34/(100+K34)*K34</f>
        <v>0</v>
      </c>
      <c r="J34" s="40">
        <v>0</v>
      </c>
      <c r="K34" s="1">
        <v>19</v>
      </c>
    </row>
    <row r="35" spans="1:11" ht="12.75">
      <c r="A35" s="44"/>
      <c r="B35" s="1" t="s">
        <v>120</v>
      </c>
      <c r="C35" s="37">
        <v>3024</v>
      </c>
      <c r="D35" s="37"/>
      <c r="G35" s="38"/>
      <c r="H35" s="39">
        <f>J35/(100+K35)*100</f>
        <v>0</v>
      </c>
      <c r="I35" s="39">
        <f>J35/(100+K35)*K35</f>
        <v>0</v>
      </c>
      <c r="J35" s="40">
        <v>0</v>
      </c>
      <c r="K35" s="1">
        <v>19</v>
      </c>
    </row>
    <row r="36" spans="1:11" ht="12.75">
      <c r="A36" s="44"/>
      <c r="B36" s="1" t="s">
        <v>120</v>
      </c>
      <c r="C36" s="37">
        <v>3025</v>
      </c>
      <c r="D36" s="37"/>
      <c r="G36" s="38"/>
      <c r="H36" s="39">
        <f>J36/(100+K36)*100</f>
        <v>0</v>
      </c>
      <c r="I36" s="39">
        <f>J36/(100+K36)*K36</f>
        <v>0</v>
      </c>
      <c r="J36" s="40">
        <v>0</v>
      </c>
      <c r="K36" s="1">
        <v>19</v>
      </c>
    </row>
    <row r="37" spans="1:11" ht="12.75">
      <c r="A37" s="44"/>
      <c r="B37" s="1" t="s">
        <v>120</v>
      </c>
      <c r="C37" s="37">
        <v>3026</v>
      </c>
      <c r="D37" s="37"/>
      <c r="G37" s="46"/>
      <c r="H37" s="39">
        <f>J37/(100+K37)*100</f>
        <v>0</v>
      </c>
      <c r="I37" s="39">
        <f>J37/(100+K37)*K37</f>
        <v>0</v>
      </c>
      <c r="J37" s="40">
        <v>0</v>
      </c>
      <c r="K37" s="1">
        <v>19</v>
      </c>
    </row>
    <row r="38" spans="1:11" ht="12.75">
      <c r="A38" s="44"/>
      <c r="B38" s="1" t="s">
        <v>120</v>
      </c>
      <c r="C38" s="37">
        <v>3027</v>
      </c>
      <c r="D38" s="37"/>
      <c r="G38" s="38"/>
      <c r="H38" s="39">
        <f>J38/(100+K38)*100</f>
        <v>0</v>
      </c>
      <c r="I38" s="39">
        <f>J38/(100+K38)*K38</f>
        <v>0</v>
      </c>
      <c r="J38" s="40">
        <v>0</v>
      </c>
      <c r="K38" s="1">
        <v>19</v>
      </c>
    </row>
    <row r="39" spans="1:11" ht="12.75">
      <c r="A39" s="44"/>
      <c r="B39" s="1" t="s">
        <v>120</v>
      </c>
      <c r="C39" s="37">
        <v>3028</v>
      </c>
      <c r="D39" s="37"/>
      <c r="G39" s="38"/>
      <c r="H39" s="39">
        <f>J39/(100+K39)*100</f>
        <v>0</v>
      </c>
      <c r="I39" s="39">
        <f>J39/(100+K39)*K39</f>
        <v>0</v>
      </c>
      <c r="J39" s="40">
        <v>0</v>
      </c>
      <c r="K39" s="1">
        <v>19</v>
      </c>
    </row>
    <row r="40" spans="1:11" ht="12.75">
      <c r="A40" s="44"/>
      <c r="B40" s="1" t="s">
        <v>120</v>
      </c>
      <c r="C40" s="37">
        <v>3029</v>
      </c>
      <c r="D40" s="37"/>
      <c r="G40" s="38"/>
      <c r="H40" s="39">
        <f>J40/(100+K40)*100</f>
        <v>0</v>
      </c>
      <c r="I40" s="39">
        <f>J40/(100+K40)*K40</f>
        <v>0</v>
      </c>
      <c r="J40" s="40">
        <v>0</v>
      </c>
      <c r="K40" s="1">
        <v>19</v>
      </c>
    </row>
    <row r="41" spans="1:11" ht="12.75">
      <c r="A41" s="44"/>
      <c r="B41" s="1" t="s">
        <v>120</v>
      </c>
      <c r="C41" s="37">
        <v>3030</v>
      </c>
      <c r="D41" s="37"/>
      <c r="G41" s="38"/>
      <c r="H41" s="39">
        <f>J41/(100+K41)*100</f>
        <v>0</v>
      </c>
      <c r="I41" s="39">
        <f>J41/(100+K41)*K41</f>
        <v>0</v>
      </c>
      <c r="J41" s="40">
        <v>0</v>
      </c>
      <c r="K41" s="1">
        <v>0</v>
      </c>
    </row>
    <row r="42" spans="1:11" ht="12.75">
      <c r="A42" s="44"/>
      <c r="B42" s="1" t="s">
        <v>120</v>
      </c>
      <c r="C42" s="37">
        <v>3031</v>
      </c>
      <c r="D42" s="37"/>
      <c r="G42" s="38"/>
      <c r="H42" s="39">
        <f>J42/(100+K42)*100</f>
        <v>0</v>
      </c>
      <c r="I42" s="39">
        <f>J42/(100+K42)*K42</f>
        <v>0</v>
      </c>
      <c r="J42" s="40">
        <v>0</v>
      </c>
      <c r="K42" s="1">
        <v>19</v>
      </c>
    </row>
    <row r="43" spans="1:11" ht="12.75">
      <c r="A43" s="44"/>
      <c r="B43" s="1" t="s">
        <v>120</v>
      </c>
      <c r="C43" s="37">
        <v>3032</v>
      </c>
      <c r="D43" s="37"/>
      <c r="G43" s="38"/>
      <c r="H43" s="39">
        <f>J43/(100+K43)*100</f>
        <v>0</v>
      </c>
      <c r="I43" s="39">
        <f>J43/(100+K43)*K43</f>
        <v>0</v>
      </c>
      <c r="J43" s="40">
        <v>0</v>
      </c>
      <c r="K43" s="1">
        <v>19</v>
      </c>
    </row>
    <row r="44" spans="1:11" ht="12.75">
      <c r="A44" s="44"/>
      <c r="B44" s="1" t="s">
        <v>120</v>
      </c>
      <c r="C44" s="37">
        <v>3033</v>
      </c>
      <c r="D44" s="37"/>
      <c r="G44" s="38"/>
      <c r="H44" s="39">
        <f>J44/(100+K44)*100</f>
        <v>0</v>
      </c>
      <c r="I44" s="39">
        <f>J44/(100+K44)*K44</f>
        <v>0</v>
      </c>
      <c r="J44" s="40">
        <v>0</v>
      </c>
      <c r="K44" s="1">
        <v>19</v>
      </c>
    </row>
    <row r="45" spans="1:11" ht="12.75">
      <c r="A45" s="44"/>
      <c r="B45" s="1" t="s">
        <v>120</v>
      </c>
      <c r="C45" s="37">
        <v>3034</v>
      </c>
      <c r="D45" s="37"/>
      <c r="G45" s="46"/>
      <c r="H45" s="39">
        <f>J45/(100+K45)*100</f>
        <v>0</v>
      </c>
      <c r="I45" s="39">
        <f>J45/(100+K45)*K45</f>
        <v>0</v>
      </c>
      <c r="J45" s="40">
        <v>0</v>
      </c>
      <c r="K45" s="1">
        <v>19</v>
      </c>
    </row>
    <row r="46" spans="1:11" ht="12.75">
      <c r="A46" s="44"/>
      <c r="B46" s="1" t="s">
        <v>120</v>
      </c>
      <c r="C46" s="37">
        <v>3035</v>
      </c>
      <c r="D46" s="37"/>
      <c r="G46" s="46"/>
      <c r="H46" s="39">
        <f>J46/(100+K46)*100</f>
        <v>0</v>
      </c>
      <c r="I46" s="39">
        <f>J46/(100+K46)*K46</f>
        <v>0</v>
      </c>
      <c r="J46" s="40">
        <v>0</v>
      </c>
      <c r="K46" s="1">
        <v>19</v>
      </c>
    </row>
    <row r="47" spans="1:11" ht="12.75">
      <c r="A47" s="44"/>
      <c r="B47" s="1" t="s">
        <v>120</v>
      </c>
      <c r="C47" s="37">
        <v>3036</v>
      </c>
      <c r="D47" s="37"/>
      <c r="G47" s="46"/>
      <c r="H47" s="39">
        <f>J47/(100+K47)*100</f>
        <v>0</v>
      </c>
      <c r="I47" s="39">
        <f>J47/(100+K47)*K47</f>
        <v>0</v>
      </c>
      <c r="J47" s="40">
        <v>0</v>
      </c>
      <c r="K47" s="1">
        <v>19</v>
      </c>
    </row>
    <row r="48" spans="1:11" ht="12.75">
      <c r="A48" s="44"/>
      <c r="B48" s="1" t="s">
        <v>120</v>
      </c>
      <c r="C48" s="37">
        <v>3037</v>
      </c>
      <c r="D48" s="37"/>
      <c r="G48" s="46"/>
      <c r="H48" s="39">
        <f>J48/(100+K48)*100</f>
        <v>0</v>
      </c>
      <c r="I48" s="39">
        <f>J48/(100+K48)*K48</f>
        <v>0</v>
      </c>
      <c r="J48" s="40">
        <v>0</v>
      </c>
      <c r="K48" s="1">
        <v>19</v>
      </c>
    </row>
    <row r="49" spans="1:11" ht="12.75">
      <c r="A49" s="44"/>
      <c r="B49" s="1" t="s">
        <v>120</v>
      </c>
      <c r="C49" s="37">
        <v>3038</v>
      </c>
      <c r="D49" s="37"/>
      <c r="G49" s="46"/>
      <c r="H49" s="39">
        <f>J49/(100+K49)*100</f>
        <v>0</v>
      </c>
      <c r="I49" s="39">
        <f>J49/(100+K49)*K49</f>
        <v>0</v>
      </c>
      <c r="J49" s="40">
        <v>0</v>
      </c>
      <c r="K49" s="1">
        <v>19</v>
      </c>
    </row>
    <row r="50" spans="1:11" ht="12.75">
      <c r="A50" s="44"/>
      <c r="B50" s="1" t="s">
        <v>120</v>
      </c>
      <c r="C50" s="37">
        <v>3039</v>
      </c>
      <c r="D50" s="37"/>
      <c r="G50" s="46"/>
      <c r="H50" s="39">
        <f>J50/(100+K50)*100</f>
        <v>0</v>
      </c>
      <c r="I50" s="39">
        <f>J50/(100+K50)*K50</f>
        <v>0</v>
      </c>
      <c r="J50" s="40"/>
      <c r="K50" s="1">
        <v>19</v>
      </c>
    </row>
    <row r="51" spans="1:11" ht="12.75">
      <c r="A51" s="44"/>
      <c r="B51" s="1" t="s">
        <v>120</v>
      </c>
      <c r="C51" s="37">
        <v>3040</v>
      </c>
      <c r="D51" s="37"/>
      <c r="G51" s="46"/>
      <c r="H51" s="39">
        <f>J51/(100+K51)*100</f>
        <v>0</v>
      </c>
      <c r="I51" s="39">
        <f>J51/(100+K51)*K51</f>
        <v>0</v>
      </c>
      <c r="J51" s="40"/>
      <c r="K51" s="1">
        <v>19</v>
      </c>
    </row>
    <row r="52" spans="1:11" ht="12.75">
      <c r="A52" s="44"/>
      <c r="B52" s="1" t="s">
        <v>120</v>
      </c>
      <c r="C52" s="37">
        <v>3041</v>
      </c>
      <c r="D52" s="37"/>
      <c r="G52" s="46"/>
      <c r="H52" s="39">
        <f>J52/(100+K52)*100</f>
        <v>0</v>
      </c>
      <c r="I52" s="39">
        <f>J52/(100+K52)*K52</f>
        <v>0</v>
      </c>
      <c r="J52" s="40"/>
      <c r="K52" s="1">
        <v>19</v>
      </c>
    </row>
    <row r="53" spans="1:11" ht="12.75">
      <c r="A53" s="44"/>
      <c r="B53" s="1" t="s">
        <v>120</v>
      </c>
      <c r="C53" s="37">
        <v>3042</v>
      </c>
      <c r="D53" s="37"/>
      <c r="G53" s="46"/>
      <c r="H53" s="39">
        <f>J53/(100+K53)*100</f>
        <v>0</v>
      </c>
      <c r="I53" s="39">
        <f>J53/(100+K53)*K53</f>
        <v>0</v>
      </c>
      <c r="J53" s="40"/>
      <c r="K53" s="1">
        <v>19</v>
      </c>
    </row>
    <row r="54" spans="1:11" ht="12.75">
      <c r="A54" s="44"/>
      <c r="B54" s="1" t="s">
        <v>120</v>
      </c>
      <c r="C54" s="37">
        <v>3043</v>
      </c>
      <c r="D54" s="37"/>
      <c r="G54" s="46"/>
      <c r="H54" s="39">
        <f>J54/(100+K54)*100</f>
        <v>0</v>
      </c>
      <c r="I54" s="39">
        <f>J54/(100+K54)*K54</f>
        <v>0</v>
      </c>
      <c r="J54" s="40"/>
      <c r="K54" s="1">
        <v>19</v>
      </c>
    </row>
    <row r="55" spans="1:11" ht="12.75">
      <c r="A55" s="44"/>
      <c r="B55" s="1" t="s">
        <v>120</v>
      </c>
      <c r="C55" s="37">
        <v>3044</v>
      </c>
      <c r="D55" s="37"/>
      <c r="G55" s="46"/>
      <c r="H55" s="39">
        <f>J55/(100+K55)*100</f>
        <v>0</v>
      </c>
      <c r="I55" s="39">
        <f>J55/(100+K55)*K55</f>
        <v>0</v>
      </c>
      <c r="J55" s="40"/>
      <c r="K55" s="1">
        <v>19</v>
      </c>
    </row>
    <row r="56" spans="1:11" ht="12.75">
      <c r="A56" s="44"/>
      <c r="B56" s="1" t="s">
        <v>120</v>
      </c>
      <c r="C56" s="37">
        <v>3045</v>
      </c>
      <c r="D56" s="37"/>
      <c r="G56" s="38"/>
      <c r="H56" s="39">
        <f>J56/(100+K56)*100</f>
        <v>0</v>
      </c>
      <c r="I56" s="39">
        <f>J56/(100+K56)*K56</f>
        <v>0</v>
      </c>
      <c r="J56" s="40"/>
      <c r="K56" s="1">
        <v>19</v>
      </c>
    </row>
    <row r="57" spans="1:11" ht="12.75">
      <c r="A57" s="44"/>
      <c r="B57" s="1" t="s">
        <v>120</v>
      </c>
      <c r="C57" s="37">
        <v>3046</v>
      </c>
      <c r="D57" s="37"/>
      <c r="E57" s="45"/>
      <c r="G57" s="46"/>
      <c r="H57" s="39">
        <f>J57/(100+K57)*100</f>
        <v>0</v>
      </c>
      <c r="I57" s="39">
        <f>J57/(100+K57)*K57</f>
        <v>0</v>
      </c>
      <c r="J57" s="40"/>
      <c r="K57" s="1">
        <v>19</v>
      </c>
    </row>
    <row r="58" spans="1:11" ht="12.75">
      <c r="A58" s="44"/>
      <c r="B58" s="1" t="s">
        <v>120</v>
      </c>
      <c r="C58" s="37">
        <v>3047</v>
      </c>
      <c r="D58" s="37"/>
      <c r="G58" s="46"/>
      <c r="H58" s="39">
        <f>J58/(100+K58)*100</f>
        <v>0</v>
      </c>
      <c r="I58" s="39">
        <f>J58/(100+K58)*K58</f>
        <v>0</v>
      </c>
      <c r="J58" s="40"/>
      <c r="K58" s="1">
        <v>19</v>
      </c>
    </row>
    <row r="59" spans="1:11" ht="12.75">
      <c r="A59" s="44"/>
      <c r="B59" s="1" t="s">
        <v>120</v>
      </c>
      <c r="C59" s="37">
        <v>3048</v>
      </c>
      <c r="D59" s="37"/>
      <c r="G59" s="46"/>
      <c r="H59" s="39">
        <f>J59/(100+K59)*100</f>
        <v>0</v>
      </c>
      <c r="I59" s="39">
        <f>J59/(100+K59)*K59</f>
        <v>0</v>
      </c>
      <c r="J59" s="40"/>
      <c r="K59" s="1">
        <v>19</v>
      </c>
    </row>
    <row r="60" spans="1:11" ht="15" customHeight="1">
      <c r="A60" s="44"/>
      <c r="B60" s="1" t="s">
        <v>120</v>
      </c>
      <c r="C60" s="37">
        <v>3049</v>
      </c>
      <c r="D60" s="37"/>
      <c r="G60" s="46"/>
      <c r="H60" s="39">
        <f>J60/(100+K60)*100</f>
        <v>0</v>
      </c>
      <c r="I60" s="39">
        <f>J60/(100+K60)*K60</f>
        <v>0</v>
      </c>
      <c r="J60" s="40"/>
      <c r="K60" s="1">
        <v>19</v>
      </c>
    </row>
    <row r="61" spans="1:11" ht="15" customHeight="1">
      <c r="A61" s="44"/>
      <c r="B61" s="1" t="s">
        <v>120</v>
      </c>
      <c r="C61" s="37">
        <v>3050</v>
      </c>
      <c r="D61" s="37"/>
      <c r="G61" s="46"/>
      <c r="H61" s="39">
        <f>J61/(100+K61)*100</f>
        <v>0</v>
      </c>
      <c r="I61" s="39">
        <f>J61/(100+K61)*K61</f>
        <v>0</v>
      </c>
      <c r="J61" s="40"/>
      <c r="K61" s="1">
        <v>19</v>
      </c>
    </row>
    <row r="62" spans="1:11" ht="15" customHeight="1">
      <c r="A62" s="44"/>
      <c r="B62" s="1" t="s">
        <v>120</v>
      </c>
      <c r="C62" s="37">
        <v>3051</v>
      </c>
      <c r="D62" s="37"/>
      <c r="G62" s="46"/>
      <c r="H62" s="39">
        <f>J62/(100+K62)*100</f>
        <v>0</v>
      </c>
      <c r="I62" s="39">
        <f>J62/(100+K62)*K62</f>
        <v>0</v>
      </c>
      <c r="J62" s="40"/>
      <c r="K62" s="1">
        <v>19</v>
      </c>
    </row>
    <row r="63" spans="1:11" ht="15" customHeight="1">
      <c r="A63" s="44"/>
      <c r="B63" s="1" t="s">
        <v>120</v>
      </c>
      <c r="C63" s="37">
        <v>3052</v>
      </c>
      <c r="D63" s="37"/>
      <c r="G63" s="46"/>
      <c r="H63" s="39">
        <f>J63/(100+K63)*100</f>
        <v>0</v>
      </c>
      <c r="I63" s="39">
        <f>J63/(100+K63)*K63</f>
        <v>0</v>
      </c>
      <c r="J63" s="40"/>
      <c r="K63" s="1">
        <v>19</v>
      </c>
    </row>
    <row r="64" spans="1:11" ht="15" customHeight="1">
      <c r="A64" s="44"/>
      <c r="B64" s="1" t="s">
        <v>120</v>
      </c>
      <c r="C64" s="37">
        <v>3053</v>
      </c>
      <c r="D64" s="37"/>
      <c r="E64" s="45"/>
      <c r="G64" s="46"/>
      <c r="H64" s="39">
        <f>J64/(100+K64)*100</f>
        <v>0</v>
      </c>
      <c r="I64" s="39">
        <f>J64/(100+K64)*K64</f>
        <v>0</v>
      </c>
      <c r="J64" s="40"/>
      <c r="K64" s="1">
        <v>19</v>
      </c>
    </row>
    <row r="65" spans="1:11" ht="15" customHeight="1">
      <c r="A65" s="44"/>
      <c r="B65" s="1" t="s">
        <v>120</v>
      </c>
      <c r="C65" s="37">
        <v>3054</v>
      </c>
      <c r="D65" s="37"/>
      <c r="G65" s="38"/>
      <c r="H65" s="39">
        <f>J65/(100+K65)*100</f>
        <v>0</v>
      </c>
      <c r="I65" s="39">
        <f>J65/(100+K65)*K65</f>
        <v>0</v>
      </c>
      <c r="J65" s="40"/>
      <c r="K65" s="1">
        <v>19</v>
      </c>
    </row>
    <row r="66" spans="1:11" ht="15" customHeight="1">
      <c r="A66" s="44"/>
      <c r="B66" s="1" t="s">
        <v>120</v>
      </c>
      <c r="C66" s="37">
        <v>3055</v>
      </c>
      <c r="D66" s="37"/>
      <c r="G66" s="38"/>
      <c r="H66" s="39">
        <f>J66/(100+K66)*100</f>
        <v>0</v>
      </c>
      <c r="I66" s="39">
        <f>J66/(100+K66)*K66</f>
        <v>0</v>
      </c>
      <c r="J66" s="40"/>
      <c r="K66" s="1">
        <v>19</v>
      </c>
    </row>
    <row r="67" spans="1:11" ht="12.75">
      <c r="A67" s="44"/>
      <c r="B67" s="1" t="s">
        <v>120</v>
      </c>
      <c r="C67" s="37">
        <v>3056</v>
      </c>
      <c r="D67" s="37"/>
      <c r="G67" s="38"/>
      <c r="H67" s="39">
        <f>J67/(100+K67)*100</f>
        <v>0</v>
      </c>
      <c r="I67" s="39">
        <f>J67/(100+K67)*K67</f>
        <v>0</v>
      </c>
      <c r="J67" s="40"/>
      <c r="K67" s="1">
        <v>19</v>
      </c>
    </row>
    <row r="68" spans="1:11" ht="12.75">
      <c r="A68" s="44"/>
      <c r="B68" s="1" t="s">
        <v>120</v>
      </c>
      <c r="C68" s="37">
        <v>3057</v>
      </c>
      <c r="D68" s="37"/>
      <c r="G68" s="38"/>
      <c r="H68" s="39">
        <f>J68/(100+K68)*100</f>
        <v>0</v>
      </c>
      <c r="I68" s="39">
        <f>J68/(100+K68)*K68</f>
        <v>0</v>
      </c>
      <c r="J68" s="40"/>
      <c r="K68" s="1">
        <v>19</v>
      </c>
    </row>
    <row r="69" spans="1:11" ht="12.75">
      <c r="A69" s="44"/>
      <c r="B69" s="1" t="s">
        <v>120</v>
      </c>
      <c r="C69" s="37">
        <v>3058</v>
      </c>
      <c r="D69" s="37"/>
      <c r="G69" s="38"/>
      <c r="H69" s="39">
        <f>J69/(100+K69)*100</f>
        <v>0</v>
      </c>
      <c r="I69" s="39">
        <f>J69/(100+K69)*K69</f>
        <v>0</v>
      </c>
      <c r="J69" s="40"/>
      <c r="K69" s="1">
        <v>19</v>
      </c>
    </row>
    <row r="70" spans="1:11" ht="12.75">
      <c r="A70" s="44"/>
      <c r="B70" s="1" t="s">
        <v>120</v>
      </c>
      <c r="C70" s="37">
        <v>3059</v>
      </c>
      <c r="D70" s="37"/>
      <c r="G70" s="38"/>
      <c r="H70" s="39">
        <f>J70/(100+K70)*100</f>
        <v>0</v>
      </c>
      <c r="I70" s="39">
        <f>J70/(100+K70)*K70</f>
        <v>0</v>
      </c>
      <c r="J70" s="40"/>
      <c r="K70" s="1">
        <v>19</v>
      </c>
    </row>
    <row r="71" spans="1:11" ht="12.75">
      <c r="A71" s="44"/>
      <c r="B71" s="1" t="s">
        <v>120</v>
      </c>
      <c r="C71" s="37">
        <v>3060</v>
      </c>
      <c r="D71" s="37"/>
      <c r="G71" s="38"/>
      <c r="H71" s="39">
        <f>J71/(100+K71)*100</f>
        <v>0</v>
      </c>
      <c r="I71" s="39">
        <f>J71/(100+K71)*K71</f>
        <v>0</v>
      </c>
      <c r="J71" s="40"/>
      <c r="K71" s="1">
        <v>19</v>
      </c>
    </row>
    <row r="72" spans="1:11" ht="12.75">
      <c r="A72" s="44"/>
      <c r="B72" s="1" t="s">
        <v>120</v>
      </c>
      <c r="C72" s="37">
        <v>3061</v>
      </c>
      <c r="D72" s="37"/>
      <c r="G72" s="38"/>
      <c r="H72" s="39">
        <f>J72/(100+K72)*100</f>
        <v>0</v>
      </c>
      <c r="I72" s="39">
        <f>J72/(100+K72)*K72</f>
        <v>0</v>
      </c>
      <c r="J72" s="40"/>
      <c r="K72" s="1">
        <v>19</v>
      </c>
    </row>
    <row r="73" spans="1:11" ht="12.75">
      <c r="A73" s="44"/>
      <c r="B73" s="1" t="s">
        <v>120</v>
      </c>
      <c r="C73" s="37">
        <v>3062</v>
      </c>
      <c r="D73" s="37"/>
      <c r="G73" s="38"/>
      <c r="H73" s="39">
        <f>J73/(100+K73)*100</f>
        <v>0</v>
      </c>
      <c r="I73" s="39">
        <f>J73/(100+K73)*K73</f>
        <v>0</v>
      </c>
      <c r="J73" s="40"/>
      <c r="K73" s="1">
        <v>19</v>
      </c>
    </row>
    <row r="74" spans="1:11" ht="12.75">
      <c r="A74" s="44"/>
      <c r="B74" s="1" t="s">
        <v>120</v>
      </c>
      <c r="C74" s="37">
        <v>3063</v>
      </c>
      <c r="D74" s="37"/>
      <c r="G74" s="38"/>
      <c r="H74" s="39">
        <f>J74/(100+K74)*100</f>
        <v>0</v>
      </c>
      <c r="I74" s="39">
        <f>J74/(100+K74)*K74</f>
        <v>0</v>
      </c>
      <c r="J74" s="40"/>
      <c r="K74" s="1">
        <v>19</v>
      </c>
    </row>
    <row r="75" spans="1:11" ht="12.75">
      <c r="A75" s="44"/>
      <c r="B75" s="1" t="s">
        <v>120</v>
      </c>
      <c r="C75" s="37">
        <v>3064</v>
      </c>
      <c r="D75" s="37"/>
      <c r="G75" s="38"/>
      <c r="H75" s="39">
        <f>J75/(100+K75)*100</f>
        <v>0</v>
      </c>
      <c r="I75" s="39">
        <f>J75/(100+K75)*K75</f>
        <v>0</v>
      </c>
      <c r="J75" s="40"/>
      <c r="K75" s="1">
        <v>19</v>
      </c>
    </row>
    <row r="76" spans="1:11" ht="12.75">
      <c r="A76" s="44"/>
      <c r="B76" s="1" t="s">
        <v>120</v>
      </c>
      <c r="C76" s="37">
        <v>3065</v>
      </c>
      <c r="D76" s="37"/>
      <c r="G76" s="46"/>
      <c r="H76" s="39">
        <f>J76/(100+K76)*100</f>
        <v>0</v>
      </c>
      <c r="I76" s="39">
        <f>J76/(100+K76)*K76</f>
        <v>0</v>
      </c>
      <c r="J76" s="40"/>
      <c r="K76" s="1">
        <v>19</v>
      </c>
    </row>
    <row r="77" spans="1:11" ht="12.75">
      <c r="A77" s="44"/>
      <c r="B77" s="1" t="s">
        <v>120</v>
      </c>
      <c r="C77" s="37">
        <v>3066</v>
      </c>
      <c r="D77" s="37"/>
      <c r="G77" s="46"/>
      <c r="H77" s="39">
        <f>J77/(100+K77)*100</f>
        <v>0</v>
      </c>
      <c r="I77" s="39">
        <f>J77/(100+K77)*K77</f>
        <v>0</v>
      </c>
      <c r="J77" s="40"/>
      <c r="K77" s="1">
        <v>19</v>
      </c>
    </row>
    <row r="78" spans="1:11" ht="12.75">
      <c r="A78" s="44"/>
      <c r="B78" s="1" t="s">
        <v>120</v>
      </c>
      <c r="C78" s="37">
        <v>3067</v>
      </c>
      <c r="D78" s="37"/>
      <c r="G78" s="38"/>
      <c r="H78" s="39">
        <f>J78/(100+K78)*100</f>
        <v>0</v>
      </c>
      <c r="I78" s="39">
        <f>J78/(100+K78)*K78</f>
        <v>0</v>
      </c>
      <c r="J78" s="40"/>
      <c r="K78" s="1">
        <v>19</v>
      </c>
    </row>
    <row r="79" spans="1:11" ht="12.75">
      <c r="A79" s="44"/>
      <c r="B79" s="1" t="s">
        <v>120</v>
      </c>
      <c r="C79" s="37">
        <v>3068</v>
      </c>
      <c r="D79" s="37"/>
      <c r="G79" s="38"/>
      <c r="H79" s="39">
        <f>J79/(100+K79)*100</f>
        <v>0</v>
      </c>
      <c r="I79" s="39">
        <f>J79/(100+K79)*K79</f>
        <v>0</v>
      </c>
      <c r="J79" s="40"/>
      <c r="K79" s="1">
        <v>19</v>
      </c>
    </row>
    <row r="80" spans="1:11" ht="12.75">
      <c r="A80" s="44"/>
      <c r="B80" s="1" t="s">
        <v>120</v>
      </c>
      <c r="C80" s="37">
        <v>3069</v>
      </c>
      <c r="D80" s="37"/>
      <c r="G80" s="38"/>
      <c r="H80" s="39">
        <f>J80/(100+K80)*100</f>
        <v>0</v>
      </c>
      <c r="I80" s="39">
        <f>J80/(100+K80)*K80</f>
        <v>0</v>
      </c>
      <c r="J80" s="40"/>
      <c r="K80" s="1">
        <v>19</v>
      </c>
    </row>
    <row r="81" spans="1:11" ht="12.75">
      <c r="A81" s="44"/>
      <c r="B81" s="1" t="s">
        <v>120</v>
      </c>
      <c r="C81" s="37">
        <v>3070</v>
      </c>
      <c r="D81" s="37"/>
      <c r="G81" s="38"/>
      <c r="H81" s="39">
        <f>J81/(100+K81)*100</f>
        <v>0</v>
      </c>
      <c r="I81" s="39">
        <f>J81/(100+K81)*K81</f>
        <v>0</v>
      </c>
      <c r="J81" s="40"/>
      <c r="K81" s="1">
        <v>19</v>
      </c>
    </row>
    <row r="82" spans="1:11" ht="12.75">
      <c r="A82" s="44"/>
      <c r="B82" s="1" t="s">
        <v>120</v>
      </c>
      <c r="C82" s="37">
        <v>3071</v>
      </c>
      <c r="D82" s="37"/>
      <c r="G82" s="57"/>
      <c r="H82" s="39">
        <f>J82/(100+K82)*100</f>
        <v>0</v>
      </c>
      <c r="I82" s="39">
        <f>J82/(100+K82)*K82</f>
        <v>0</v>
      </c>
      <c r="J82" s="40"/>
      <c r="K82" s="1">
        <v>19</v>
      </c>
    </row>
    <row r="83" spans="1:11" ht="12.75">
      <c r="A83" s="44"/>
      <c r="B83" s="1" t="s">
        <v>120</v>
      </c>
      <c r="C83" s="37">
        <v>3072</v>
      </c>
      <c r="D83" s="37"/>
      <c r="G83" s="38"/>
      <c r="H83" s="39">
        <f>J83/(100+K83)*100</f>
        <v>0</v>
      </c>
      <c r="I83" s="39">
        <f>J83/(100+K83)*K83</f>
        <v>0</v>
      </c>
      <c r="J83" s="40"/>
      <c r="K83" s="1">
        <v>19</v>
      </c>
    </row>
    <row r="84" spans="1:11" ht="12.75">
      <c r="A84" s="44"/>
      <c r="B84" s="1" t="s">
        <v>120</v>
      </c>
      <c r="C84" s="37">
        <v>3073</v>
      </c>
      <c r="D84" s="37"/>
      <c r="G84" s="38"/>
      <c r="H84" s="39">
        <f>J84/(100+K84)*100</f>
        <v>0</v>
      </c>
      <c r="I84" s="39">
        <f>J84/(100+K84)*K84</f>
        <v>0</v>
      </c>
      <c r="J84" s="40"/>
      <c r="K84" s="1">
        <v>19</v>
      </c>
    </row>
    <row r="85" spans="1:11" ht="12.75">
      <c r="A85" s="44"/>
      <c r="B85" s="1" t="s">
        <v>120</v>
      </c>
      <c r="C85" s="37">
        <v>3074</v>
      </c>
      <c r="D85" s="37"/>
      <c r="G85" s="38"/>
      <c r="H85" s="39">
        <f>J84/(100+K85)*100</f>
        <v>0</v>
      </c>
      <c r="I85" s="39">
        <f>J84/(100+K85)*K85</f>
        <v>0</v>
      </c>
      <c r="J85" s="45"/>
      <c r="K85" s="1">
        <v>19</v>
      </c>
    </row>
    <row r="86" spans="1:11" ht="12.75">
      <c r="A86" s="44"/>
      <c r="B86" s="1" t="s">
        <v>120</v>
      </c>
      <c r="C86" s="37">
        <v>3075</v>
      </c>
      <c r="D86" s="37"/>
      <c r="G86" s="38"/>
      <c r="H86" s="39">
        <f>J86/(100+K86)*100</f>
        <v>0</v>
      </c>
      <c r="I86" s="39">
        <f>J86/(100+K86)*K86</f>
        <v>0</v>
      </c>
      <c r="J86" s="40"/>
      <c r="K86" s="1">
        <v>19</v>
      </c>
    </row>
    <row r="87" spans="1:11" ht="12.75">
      <c r="A87" s="44"/>
      <c r="B87" s="1" t="s">
        <v>120</v>
      </c>
      <c r="C87" s="37">
        <v>3076</v>
      </c>
      <c r="D87" s="37"/>
      <c r="G87" s="38"/>
      <c r="H87" s="39">
        <f>J87/(100+K87)*100</f>
        <v>0</v>
      </c>
      <c r="I87" s="39">
        <f>J87/(100+K87)*K87</f>
        <v>0</v>
      </c>
      <c r="J87" s="40"/>
      <c r="K87" s="1">
        <v>19</v>
      </c>
    </row>
    <row r="88" spans="1:11" ht="12.75">
      <c r="A88" s="44"/>
      <c r="B88" s="1" t="s">
        <v>120</v>
      </c>
      <c r="C88" s="37">
        <v>3077</v>
      </c>
      <c r="D88" s="37"/>
      <c r="G88" s="38"/>
      <c r="H88" s="39">
        <f>J88/(100+K88)*100</f>
        <v>0</v>
      </c>
      <c r="I88" s="39">
        <f>J88/(100+K88)*K88</f>
        <v>0</v>
      </c>
      <c r="J88" s="40"/>
      <c r="K88" s="1">
        <v>19</v>
      </c>
    </row>
    <row r="89" spans="1:11" ht="12.75">
      <c r="A89" s="44"/>
      <c r="B89" s="1" t="s">
        <v>120</v>
      </c>
      <c r="C89" s="37">
        <v>3078</v>
      </c>
      <c r="D89" s="37"/>
      <c r="G89" s="38"/>
      <c r="H89" s="39">
        <f>J89/(100+K89)*100</f>
        <v>0</v>
      </c>
      <c r="I89" s="39">
        <f>J89/(100+K89)*K89</f>
        <v>0</v>
      </c>
      <c r="J89" s="40"/>
      <c r="K89" s="1">
        <v>19</v>
      </c>
    </row>
    <row r="90" spans="1:11" ht="12.75">
      <c r="A90" s="44"/>
      <c r="B90" s="1" t="s">
        <v>120</v>
      </c>
      <c r="C90" s="37">
        <v>3079</v>
      </c>
      <c r="D90" s="37"/>
      <c r="G90" s="57"/>
      <c r="H90" s="39">
        <f>J90/(100+K90)*100</f>
        <v>0</v>
      </c>
      <c r="I90" s="39">
        <f>J90/(100+K90)*K90</f>
        <v>0</v>
      </c>
      <c r="J90" s="40"/>
      <c r="K90" s="1">
        <v>19</v>
      </c>
    </row>
    <row r="91" spans="1:11" ht="12.75">
      <c r="A91" s="44"/>
      <c r="B91" s="1" t="s">
        <v>120</v>
      </c>
      <c r="C91" s="37">
        <v>3080</v>
      </c>
      <c r="D91" s="37"/>
      <c r="G91" s="57"/>
      <c r="H91" s="39">
        <f>J91/(100+K91)*100</f>
        <v>0</v>
      </c>
      <c r="I91" s="39">
        <f>J91/(100+K91)*K91</f>
        <v>0</v>
      </c>
      <c r="J91" s="40"/>
      <c r="K91" s="1">
        <v>19</v>
      </c>
    </row>
    <row r="92" spans="1:11" ht="12.75">
      <c r="A92" s="44"/>
      <c r="B92" s="1" t="s">
        <v>120</v>
      </c>
      <c r="C92" s="37">
        <v>3081</v>
      </c>
      <c r="D92" s="37"/>
      <c r="G92" s="46"/>
      <c r="H92" s="39">
        <f>J92/(100+K92)*100</f>
        <v>0</v>
      </c>
      <c r="I92" s="39">
        <f>J92/(100+K92)*K92</f>
        <v>0</v>
      </c>
      <c r="J92" s="40"/>
      <c r="K92" s="1">
        <v>19</v>
      </c>
    </row>
    <row r="93" spans="1:11" ht="12.75">
      <c r="A93" s="44"/>
      <c r="B93" s="1" t="s">
        <v>120</v>
      </c>
      <c r="C93" s="37">
        <v>3082</v>
      </c>
      <c r="D93" s="37"/>
      <c r="G93" s="38"/>
      <c r="H93" s="39">
        <f>J93/(100+K93)*100</f>
        <v>0</v>
      </c>
      <c r="I93" s="39">
        <f>J93/(100+K93)*K93</f>
        <v>0</v>
      </c>
      <c r="J93" s="40"/>
      <c r="K93" s="1">
        <v>19</v>
      </c>
    </row>
    <row r="94" spans="1:11" ht="12.75">
      <c r="A94" s="44"/>
      <c r="B94" s="1" t="s">
        <v>120</v>
      </c>
      <c r="C94" s="37">
        <v>3083</v>
      </c>
      <c r="D94" s="37"/>
      <c r="G94" s="38"/>
      <c r="H94" s="39">
        <f>J94/(100+K94)*100</f>
        <v>0</v>
      </c>
      <c r="I94" s="39">
        <f>J94/(100+K94)*K94</f>
        <v>0</v>
      </c>
      <c r="J94" s="40"/>
      <c r="K94" s="1">
        <v>19</v>
      </c>
    </row>
    <row r="95" spans="1:11" ht="12.75">
      <c r="A95" s="44"/>
      <c r="B95" s="1" t="s">
        <v>120</v>
      </c>
      <c r="C95" s="37">
        <v>3084</v>
      </c>
      <c r="D95" s="37"/>
      <c r="G95" s="38"/>
      <c r="H95" s="39">
        <f>J95/(100+K95)*100</f>
        <v>0</v>
      </c>
      <c r="I95" s="39">
        <f>J95/(100+K95)*K95</f>
        <v>0</v>
      </c>
      <c r="J95" s="40"/>
      <c r="K95" s="1">
        <v>19</v>
      </c>
    </row>
    <row r="96" spans="1:11" ht="12.75">
      <c r="A96" s="44"/>
      <c r="B96" s="1" t="s">
        <v>120</v>
      </c>
      <c r="C96" s="37">
        <v>3085</v>
      </c>
      <c r="D96" s="37"/>
      <c r="G96" s="38"/>
      <c r="H96" s="39">
        <f>J96/(100+K96)*100</f>
        <v>0</v>
      </c>
      <c r="I96" s="39">
        <f>J96/(100+K96)*K96</f>
        <v>0</v>
      </c>
      <c r="J96" s="40"/>
      <c r="K96" s="1">
        <v>19</v>
      </c>
    </row>
    <row r="97" spans="1:11" ht="12.75">
      <c r="A97" s="44"/>
      <c r="B97" s="1" t="s">
        <v>120</v>
      </c>
      <c r="C97" s="37">
        <v>3086</v>
      </c>
      <c r="D97" s="37"/>
      <c r="G97" s="38"/>
      <c r="H97" s="39">
        <f>J97/(100+K97)*100</f>
        <v>0</v>
      </c>
      <c r="I97" s="39">
        <f>J97/(100+K97)*K97</f>
        <v>0</v>
      </c>
      <c r="J97" s="40"/>
      <c r="K97" s="1">
        <v>19</v>
      </c>
    </row>
    <row r="98" spans="1:11" ht="12.75">
      <c r="A98" s="44"/>
      <c r="B98" s="1" t="s">
        <v>120</v>
      </c>
      <c r="C98" s="37">
        <v>3087</v>
      </c>
      <c r="D98" s="37"/>
      <c r="G98" s="38"/>
      <c r="H98" s="39">
        <f>J98/(100+K98)*100</f>
        <v>0</v>
      </c>
      <c r="I98" s="39">
        <f>J98/(100+K98)*K98</f>
        <v>0</v>
      </c>
      <c r="J98" s="40"/>
      <c r="K98" s="1">
        <v>19</v>
      </c>
    </row>
    <row r="99" spans="1:11" ht="12.75">
      <c r="A99" s="44"/>
      <c r="B99" s="1" t="s">
        <v>120</v>
      </c>
      <c r="C99" s="37">
        <v>3088</v>
      </c>
      <c r="D99" s="37"/>
      <c r="G99" s="38"/>
      <c r="H99" s="39">
        <f>J99/(100+K99)*100</f>
        <v>0</v>
      </c>
      <c r="I99" s="39">
        <f>J99/(100+K99)*K99</f>
        <v>0</v>
      </c>
      <c r="J99" s="40"/>
      <c r="K99" s="1">
        <v>19</v>
      </c>
    </row>
    <row r="100" spans="1:11" ht="12.75">
      <c r="A100" s="44"/>
      <c r="B100" s="1" t="s">
        <v>120</v>
      </c>
      <c r="C100" s="37">
        <v>3089</v>
      </c>
      <c r="D100" s="37"/>
      <c r="G100" s="38"/>
      <c r="H100" s="39">
        <f>J100/(100+K100)*100</f>
        <v>0</v>
      </c>
      <c r="I100" s="39">
        <f>J100/(100+K100)*K100</f>
        <v>0</v>
      </c>
      <c r="J100" s="40"/>
      <c r="K100" s="1">
        <v>19</v>
      </c>
    </row>
    <row r="101" spans="1:11" ht="12.75">
      <c r="A101" s="44"/>
      <c r="B101" s="1" t="s">
        <v>120</v>
      </c>
      <c r="C101" s="37">
        <v>3090</v>
      </c>
      <c r="D101" s="37"/>
      <c r="G101" s="38"/>
      <c r="H101" s="39">
        <f>J101/(100+K101)*100</f>
        <v>0</v>
      </c>
      <c r="I101" s="39">
        <f>J101/(100+K101)*K101</f>
        <v>0</v>
      </c>
      <c r="J101" s="40"/>
      <c r="K101" s="1">
        <v>19</v>
      </c>
    </row>
    <row r="102" spans="1:11" ht="12.75">
      <c r="A102" s="44"/>
      <c r="B102" s="1" t="s">
        <v>120</v>
      </c>
      <c r="C102" s="37">
        <v>3091</v>
      </c>
      <c r="D102" s="37"/>
      <c r="G102" s="38"/>
      <c r="H102" s="39">
        <f>J102/(100+K102)*100</f>
        <v>0</v>
      </c>
      <c r="I102" s="39">
        <f>J102/(100+K102)*K102</f>
        <v>0</v>
      </c>
      <c r="J102" s="40"/>
      <c r="K102" s="1">
        <v>19</v>
      </c>
    </row>
    <row r="103" spans="1:11" ht="12.75">
      <c r="A103" s="44"/>
      <c r="B103" s="1" t="s">
        <v>120</v>
      </c>
      <c r="C103" s="37">
        <v>3092</v>
      </c>
      <c r="D103" s="37"/>
      <c r="G103" s="38"/>
      <c r="H103" s="39">
        <f>J103/(100+K103)*100</f>
        <v>0</v>
      </c>
      <c r="I103" s="39">
        <f>J103/(100+K103)*K103</f>
        <v>0</v>
      </c>
      <c r="J103" s="40"/>
      <c r="K103" s="1">
        <v>19</v>
      </c>
    </row>
    <row r="104" spans="1:11" ht="12.75">
      <c r="A104" s="44"/>
      <c r="B104" s="1" t="s">
        <v>120</v>
      </c>
      <c r="C104" s="37">
        <v>3093</v>
      </c>
      <c r="D104" s="37"/>
      <c r="G104" s="38"/>
      <c r="H104" s="39">
        <f>J104/(100+K104)*100</f>
        <v>0</v>
      </c>
      <c r="I104" s="39">
        <f>J104/(100+K104)*K104</f>
        <v>0</v>
      </c>
      <c r="J104" s="40"/>
      <c r="K104" s="1">
        <v>19</v>
      </c>
    </row>
    <row r="105" spans="1:11" ht="12.75">
      <c r="A105" s="44"/>
      <c r="B105" s="1" t="s">
        <v>120</v>
      </c>
      <c r="C105" s="37">
        <v>3094</v>
      </c>
      <c r="D105" s="37"/>
      <c r="G105" s="38"/>
      <c r="H105" s="39">
        <f>J105/(100+K105)*100</f>
        <v>0</v>
      </c>
      <c r="I105" s="39">
        <f>J105/(100+K105)*K105</f>
        <v>0</v>
      </c>
      <c r="J105" s="40"/>
      <c r="K105" s="1">
        <v>19</v>
      </c>
    </row>
    <row r="106" spans="1:11" ht="12.75">
      <c r="A106" s="44"/>
      <c r="B106" s="1" t="s">
        <v>120</v>
      </c>
      <c r="C106" s="37">
        <v>3095</v>
      </c>
      <c r="D106" s="37"/>
      <c r="G106" s="38"/>
      <c r="H106" s="39">
        <f>J106/(100+K106)*100</f>
        <v>0</v>
      </c>
      <c r="I106" s="39">
        <f>J106/(100+K106)*K106</f>
        <v>0</v>
      </c>
      <c r="J106" s="40"/>
      <c r="K106" s="1">
        <v>19</v>
      </c>
    </row>
    <row r="107" spans="1:11" ht="12.75">
      <c r="A107" s="44"/>
      <c r="B107" s="1" t="s">
        <v>120</v>
      </c>
      <c r="C107" s="37">
        <v>3096</v>
      </c>
      <c r="D107" s="37"/>
      <c r="G107" s="38"/>
      <c r="H107" s="39">
        <f>J107/(100+K107)*100</f>
        <v>0</v>
      </c>
      <c r="I107" s="39">
        <f>J107/(100+K107)*K107</f>
        <v>0</v>
      </c>
      <c r="J107" s="40"/>
      <c r="K107" s="1">
        <v>19</v>
      </c>
    </row>
    <row r="108" spans="1:11" ht="12.75">
      <c r="A108" s="44"/>
      <c r="B108" s="1" t="s">
        <v>120</v>
      </c>
      <c r="C108" s="37">
        <v>3097</v>
      </c>
      <c r="D108" s="37"/>
      <c r="G108" s="38"/>
      <c r="H108" s="39">
        <f>J108/(100+K108)*100</f>
        <v>0</v>
      </c>
      <c r="I108" s="39">
        <f>J108/(100+K108)*K108</f>
        <v>0</v>
      </c>
      <c r="J108" s="40"/>
      <c r="K108" s="1">
        <v>19</v>
      </c>
    </row>
    <row r="109" spans="1:11" ht="12.75">
      <c r="A109" s="44"/>
      <c r="B109" s="1" t="s">
        <v>120</v>
      </c>
      <c r="C109" s="37">
        <v>3098</v>
      </c>
      <c r="D109" s="37"/>
      <c r="G109" s="38"/>
      <c r="H109" s="39">
        <f>J109/(100+K109)*100</f>
        <v>0</v>
      </c>
      <c r="I109" s="39">
        <f>J109/(100+K109)*K109</f>
        <v>0</v>
      </c>
      <c r="J109" s="40"/>
      <c r="K109" s="1">
        <v>19</v>
      </c>
    </row>
    <row r="110" spans="1:11" ht="12.75">
      <c r="A110" s="44"/>
      <c r="B110" s="1" t="s">
        <v>120</v>
      </c>
      <c r="C110" s="37">
        <v>3099</v>
      </c>
      <c r="D110" s="37"/>
      <c r="G110" s="38"/>
      <c r="H110" s="39">
        <f>J110/(100+K110)*100</f>
        <v>0</v>
      </c>
      <c r="I110" s="39">
        <f>J110/(100+K110)*K110</f>
        <v>0</v>
      </c>
      <c r="J110" s="40"/>
      <c r="K110" s="1">
        <v>19</v>
      </c>
    </row>
    <row r="111" spans="1:11" ht="12.75">
      <c r="A111" s="44"/>
      <c r="B111" s="1" t="s">
        <v>120</v>
      </c>
      <c r="C111" s="37">
        <v>3100</v>
      </c>
      <c r="D111" s="37"/>
      <c r="G111" s="38"/>
      <c r="H111" s="39">
        <f>J111/(100+K111)*100</f>
        <v>0</v>
      </c>
      <c r="I111" s="39">
        <f>J111/(100+K111)*K111</f>
        <v>0</v>
      </c>
      <c r="J111" s="40"/>
      <c r="K111" s="1">
        <v>19</v>
      </c>
    </row>
    <row r="112" spans="1:11" ht="12.75">
      <c r="A112" s="44"/>
      <c r="B112" s="1" t="s">
        <v>120</v>
      </c>
      <c r="C112" s="37">
        <v>3101</v>
      </c>
      <c r="D112" s="37"/>
      <c r="G112" s="38"/>
      <c r="H112" s="39">
        <f>J112/(100+K112)*100</f>
        <v>0</v>
      </c>
      <c r="I112" s="39">
        <f>J112/(100+K112)*K112</f>
        <v>0</v>
      </c>
      <c r="J112" s="40"/>
      <c r="K112" s="1">
        <v>19</v>
      </c>
    </row>
    <row r="113" spans="1:11" ht="12.75">
      <c r="A113" s="44"/>
      <c r="B113" s="1" t="s">
        <v>120</v>
      </c>
      <c r="C113" s="37">
        <v>3102</v>
      </c>
      <c r="D113" s="37"/>
      <c r="G113" s="38"/>
      <c r="H113" s="39">
        <f>J113/(100+K113)*100</f>
        <v>0</v>
      </c>
      <c r="I113" s="39">
        <f>J113/(100+K113)*K113</f>
        <v>0</v>
      </c>
      <c r="J113" s="40"/>
      <c r="K113" s="1">
        <v>19</v>
      </c>
    </row>
    <row r="114" spans="1:11" ht="12.75">
      <c r="A114" s="44"/>
      <c r="B114" s="1" t="s">
        <v>120</v>
      </c>
      <c r="C114" s="37">
        <v>3103</v>
      </c>
      <c r="D114" s="37"/>
      <c r="G114" s="38"/>
      <c r="H114" s="39">
        <f>J114/(100+K114)*100</f>
        <v>0</v>
      </c>
      <c r="I114" s="39">
        <f>J114/(100+K114)*K114</f>
        <v>0</v>
      </c>
      <c r="J114" s="40"/>
      <c r="K114" s="1">
        <v>19</v>
      </c>
    </row>
    <row r="115" spans="1:11" ht="12.75">
      <c r="A115" s="44"/>
      <c r="B115" s="1" t="s">
        <v>120</v>
      </c>
      <c r="C115" s="37">
        <v>3104</v>
      </c>
      <c r="D115" s="37"/>
      <c r="G115" s="38"/>
      <c r="H115" s="39">
        <f>J115/(100+K115)*100</f>
        <v>0</v>
      </c>
      <c r="I115" s="39">
        <f>J115/(100+K115)*K115</f>
        <v>0</v>
      </c>
      <c r="J115" s="40"/>
      <c r="K115" s="1">
        <v>19</v>
      </c>
    </row>
    <row r="116" spans="1:11" ht="12.75">
      <c r="A116" s="44"/>
      <c r="B116" s="1" t="s">
        <v>120</v>
      </c>
      <c r="C116" s="37">
        <v>3105</v>
      </c>
      <c r="D116" s="37"/>
      <c r="G116" s="38"/>
      <c r="H116" s="39">
        <f>J116/(100+K116)*100</f>
        <v>0</v>
      </c>
      <c r="I116" s="39">
        <f>J116/(100+K116)*K116</f>
        <v>0</v>
      </c>
      <c r="J116" s="40"/>
      <c r="K116" s="1">
        <v>19</v>
      </c>
    </row>
    <row r="117" spans="1:11" ht="12.75">
      <c r="A117" s="44"/>
      <c r="B117" s="1" t="s">
        <v>120</v>
      </c>
      <c r="C117" s="37">
        <v>3106</v>
      </c>
      <c r="D117" s="37"/>
      <c r="G117" s="38"/>
      <c r="H117" s="39">
        <f>J117/(100+K117)*100</f>
        <v>0</v>
      </c>
      <c r="I117" s="39">
        <f>J117/(100+K117)*K117</f>
        <v>0</v>
      </c>
      <c r="J117" s="40"/>
      <c r="K117" s="1">
        <v>19</v>
      </c>
    </row>
    <row r="118" spans="1:11" ht="12.75">
      <c r="A118" s="44"/>
      <c r="B118" s="1" t="s">
        <v>120</v>
      </c>
      <c r="C118" s="37">
        <v>3107</v>
      </c>
      <c r="D118" s="37"/>
      <c r="G118" s="38"/>
      <c r="H118" s="39">
        <f>J118/(100+K118)*100</f>
        <v>0</v>
      </c>
      <c r="I118" s="39">
        <f>J118/(100+K118)*K118</f>
        <v>0</v>
      </c>
      <c r="J118" s="40"/>
      <c r="K118" s="1">
        <v>19</v>
      </c>
    </row>
    <row r="119" spans="1:11" ht="12.75">
      <c r="A119" s="44"/>
      <c r="B119" s="1" t="s">
        <v>120</v>
      </c>
      <c r="C119" s="37">
        <v>3108</v>
      </c>
      <c r="D119" s="37"/>
      <c r="G119" s="38"/>
      <c r="H119" s="39">
        <f>J119/(100+K119)*100</f>
        <v>0</v>
      </c>
      <c r="I119" s="39">
        <f>J119/(100+K119)*K119</f>
        <v>0</v>
      </c>
      <c r="J119" s="40"/>
      <c r="K119" s="1">
        <v>19</v>
      </c>
    </row>
    <row r="120" spans="1:11" ht="12.75">
      <c r="A120" s="44"/>
      <c r="B120" s="1" t="s">
        <v>120</v>
      </c>
      <c r="C120" s="37">
        <v>3109</v>
      </c>
      <c r="D120" s="37"/>
      <c r="G120" s="38"/>
      <c r="H120" s="39">
        <f>J120/(100+K120)*100</f>
        <v>0</v>
      </c>
      <c r="I120" s="39">
        <f>J120/(100+K120)*K120</f>
        <v>0</v>
      </c>
      <c r="J120" s="40"/>
      <c r="K120" s="1">
        <v>19</v>
      </c>
    </row>
    <row r="121" spans="1:11" ht="12.75">
      <c r="A121" s="44"/>
      <c r="B121" s="1" t="s">
        <v>120</v>
      </c>
      <c r="C121" s="37">
        <v>3110</v>
      </c>
      <c r="D121" s="37"/>
      <c r="G121" s="38"/>
      <c r="H121" s="39">
        <f>J121/(100+K121)*100</f>
        <v>0</v>
      </c>
      <c r="I121" s="39">
        <f>J121/(100+K121)*K121</f>
        <v>0</v>
      </c>
      <c r="J121" s="40"/>
      <c r="K121" s="1">
        <v>19</v>
      </c>
    </row>
    <row r="122" spans="1:11" ht="12.75">
      <c r="A122" s="44"/>
      <c r="B122" s="1" t="s">
        <v>120</v>
      </c>
      <c r="C122" s="37">
        <v>3111</v>
      </c>
      <c r="D122" s="37"/>
      <c r="G122" s="38"/>
      <c r="H122" s="39">
        <f>J122/(100+K122)*100</f>
        <v>0</v>
      </c>
      <c r="I122" s="39">
        <f>J122/(100+K122)*K122</f>
        <v>0</v>
      </c>
      <c r="J122" s="40"/>
      <c r="K122" s="1">
        <v>19</v>
      </c>
    </row>
    <row r="123" spans="1:11" ht="12.75">
      <c r="A123" s="44"/>
      <c r="B123" s="1" t="s">
        <v>120</v>
      </c>
      <c r="C123" s="37">
        <v>3112</v>
      </c>
      <c r="D123" s="37"/>
      <c r="G123" s="38"/>
      <c r="H123" s="39">
        <f>J123/(100+K123)*100</f>
        <v>0</v>
      </c>
      <c r="I123" s="39">
        <f>J123/(100+K123)*K123</f>
        <v>0</v>
      </c>
      <c r="J123" s="40"/>
      <c r="K123" s="1">
        <v>19</v>
      </c>
    </row>
    <row r="124" spans="1:11" ht="12.75">
      <c r="A124" s="44"/>
      <c r="B124" s="1" t="s">
        <v>120</v>
      </c>
      <c r="C124" s="37">
        <v>3113</v>
      </c>
      <c r="D124" s="37"/>
      <c r="G124" s="38"/>
      <c r="H124" s="39">
        <f>J124/(100+K124)*100</f>
        <v>0</v>
      </c>
      <c r="I124" s="39">
        <f>J124/(100+K124)*K124</f>
        <v>0</v>
      </c>
      <c r="J124" s="40"/>
      <c r="K124" s="1">
        <v>19</v>
      </c>
    </row>
    <row r="125" spans="1:11" ht="12.75">
      <c r="A125" s="44"/>
      <c r="B125" s="1" t="s">
        <v>120</v>
      </c>
      <c r="C125" s="37">
        <v>3114</v>
      </c>
      <c r="D125" s="37"/>
      <c r="G125" s="38"/>
      <c r="H125" s="39">
        <f>J125/(100+K125)*100</f>
        <v>0</v>
      </c>
      <c r="I125" s="39">
        <f>J125/(100+K125)*K125</f>
        <v>0</v>
      </c>
      <c r="J125" s="40"/>
      <c r="K125" s="1">
        <v>19</v>
      </c>
    </row>
    <row r="126" spans="1:11" ht="12.75">
      <c r="A126" s="44"/>
      <c r="B126" s="1" t="s">
        <v>120</v>
      </c>
      <c r="C126" s="37">
        <v>3115</v>
      </c>
      <c r="D126" s="37"/>
      <c r="G126" s="38"/>
      <c r="H126" s="39">
        <f>J126/(100+K126)*100</f>
        <v>0</v>
      </c>
      <c r="I126" s="39">
        <f>J126/(100+K126)*K126</f>
        <v>0</v>
      </c>
      <c r="J126" s="40"/>
      <c r="K126" s="1">
        <v>19</v>
      </c>
    </row>
    <row r="127" spans="1:11" ht="12.75">
      <c r="A127" s="44"/>
      <c r="B127" s="1" t="s">
        <v>120</v>
      </c>
      <c r="C127" s="37">
        <v>3116</v>
      </c>
      <c r="D127" s="37"/>
      <c r="G127" s="38"/>
      <c r="H127" s="39">
        <f>J127/(100+K127)*100</f>
        <v>0</v>
      </c>
      <c r="I127" s="39">
        <f>J127/(100+K127)*K127</f>
        <v>0</v>
      </c>
      <c r="J127" s="40"/>
      <c r="K127" s="1">
        <v>19</v>
      </c>
    </row>
    <row r="128" spans="1:11" ht="12.75">
      <c r="A128" s="44"/>
      <c r="B128" s="1" t="s">
        <v>120</v>
      </c>
      <c r="C128" s="37">
        <v>3117</v>
      </c>
      <c r="D128" s="37"/>
      <c r="G128" s="38"/>
      <c r="H128" s="39">
        <f>J128/(100+K128)*100</f>
        <v>0</v>
      </c>
      <c r="I128" s="39">
        <f>J128/(100+K128)*K128</f>
        <v>0</v>
      </c>
      <c r="J128" s="40"/>
      <c r="K128" s="1">
        <v>19</v>
      </c>
    </row>
    <row r="129" spans="1:11" ht="12.75">
      <c r="A129" s="44"/>
      <c r="B129" s="1" t="s">
        <v>120</v>
      </c>
      <c r="C129" s="37">
        <v>3118</v>
      </c>
      <c r="D129" s="37"/>
      <c r="G129" s="38"/>
      <c r="H129" s="39">
        <f>J129/(100+K129)*100</f>
        <v>0</v>
      </c>
      <c r="I129" s="39">
        <f>J129/(100+K129)*K129</f>
        <v>0</v>
      </c>
      <c r="J129" s="40"/>
      <c r="K129" s="1">
        <v>19</v>
      </c>
    </row>
    <row r="130" spans="1:11" ht="12.75">
      <c r="A130" s="44"/>
      <c r="B130" s="1" t="s">
        <v>120</v>
      </c>
      <c r="C130" s="37">
        <v>3119</v>
      </c>
      <c r="D130" s="37"/>
      <c r="G130" s="38"/>
      <c r="H130" s="39">
        <f>J130/(100+K130)*100</f>
        <v>0</v>
      </c>
      <c r="I130" s="39">
        <f>J130/(100+K130)*K130</f>
        <v>0</v>
      </c>
      <c r="J130" s="40"/>
      <c r="K130" s="1">
        <v>19</v>
      </c>
    </row>
    <row r="131" spans="1:11" ht="12.75">
      <c r="A131" s="44"/>
      <c r="B131" s="1" t="s">
        <v>120</v>
      </c>
      <c r="C131" s="37">
        <v>3120</v>
      </c>
      <c r="D131" s="37"/>
      <c r="G131" s="38"/>
      <c r="H131" s="39">
        <f>J131/(100+K131)*100</f>
        <v>0</v>
      </c>
      <c r="I131" s="39">
        <f>J131/(100+K131)*K131</f>
        <v>0</v>
      </c>
      <c r="J131" s="40"/>
      <c r="K131" s="1">
        <v>19</v>
      </c>
    </row>
    <row r="132" spans="1:11" ht="12.75">
      <c r="A132" s="44"/>
      <c r="B132" s="1" t="s">
        <v>120</v>
      </c>
      <c r="C132" s="37">
        <v>3121</v>
      </c>
      <c r="D132" s="37"/>
      <c r="G132" s="38"/>
      <c r="H132" s="39">
        <f>J132/(100+K132)*100</f>
        <v>0</v>
      </c>
      <c r="I132" s="39">
        <f>J132/(100+K132)*K132</f>
        <v>0</v>
      </c>
      <c r="J132" s="40"/>
      <c r="K132" s="1">
        <v>19</v>
      </c>
    </row>
    <row r="133" spans="1:11" ht="12.75">
      <c r="A133" s="44"/>
      <c r="B133" s="1" t="s">
        <v>120</v>
      </c>
      <c r="C133" s="37">
        <v>3122</v>
      </c>
      <c r="D133" s="37"/>
      <c r="G133" s="38"/>
      <c r="H133" s="39">
        <f>J133/(100+K133)*100</f>
        <v>0</v>
      </c>
      <c r="I133" s="39">
        <f>J133/(100+K133)*K133</f>
        <v>0</v>
      </c>
      <c r="J133" s="40"/>
      <c r="K133" s="1">
        <v>19</v>
      </c>
    </row>
    <row r="134" spans="1:11" ht="12.75">
      <c r="A134" s="44"/>
      <c r="B134" s="1" t="s">
        <v>120</v>
      </c>
      <c r="C134" s="37">
        <v>3123</v>
      </c>
      <c r="D134" s="37"/>
      <c r="G134" s="38"/>
      <c r="H134" s="39">
        <f>J134/(100+K134)*100</f>
        <v>0</v>
      </c>
      <c r="I134" s="39">
        <f>J134/(100+K134)*K134</f>
        <v>0</v>
      </c>
      <c r="J134" s="40"/>
      <c r="K134" s="1">
        <v>19</v>
      </c>
    </row>
    <row r="135" spans="1:11" ht="12.75">
      <c r="A135" s="44"/>
      <c r="B135" s="1" t="s">
        <v>120</v>
      </c>
      <c r="C135" s="37">
        <v>3124</v>
      </c>
      <c r="D135" s="37"/>
      <c r="G135" s="38"/>
      <c r="H135" s="39">
        <f>J135/(100+K135)*100</f>
        <v>0</v>
      </c>
      <c r="I135" s="39">
        <f>J135/(100+K135)*K135</f>
        <v>0</v>
      </c>
      <c r="J135" s="40"/>
      <c r="K135" s="1">
        <v>19</v>
      </c>
    </row>
    <row r="136" spans="1:11" ht="12.75">
      <c r="A136" s="44"/>
      <c r="B136" s="1" t="s">
        <v>120</v>
      </c>
      <c r="C136" s="37">
        <v>3125</v>
      </c>
      <c r="D136" s="37"/>
      <c r="G136" s="38"/>
      <c r="H136" s="39">
        <f>J136/(100+K136)*100</f>
        <v>0</v>
      </c>
      <c r="I136" s="39">
        <f>J136/(100+K136)*K136</f>
        <v>0</v>
      </c>
      <c r="J136" s="40"/>
      <c r="K136" s="1">
        <v>19</v>
      </c>
    </row>
    <row r="137" spans="1:11" ht="12.75">
      <c r="A137" s="44"/>
      <c r="B137" s="1" t="s">
        <v>120</v>
      </c>
      <c r="C137" s="37">
        <v>3126</v>
      </c>
      <c r="D137" s="37"/>
      <c r="G137" s="38"/>
      <c r="H137" s="39">
        <f>J137/(100+K137)*100</f>
        <v>0</v>
      </c>
      <c r="I137" s="39">
        <f>J137/(100+K137)*K137</f>
        <v>0</v>
      </c>
      <c r="J137" s="40"/>
      <c r="K137" s="1">
        <v>19</v>
      </c>
    </row>
    <row r="138" spans="1:11" ht="12.75">
      <c r="A138" s="44"/>
      <c r="B138" s="1" t="s">
        <v>120</v>
      </c>
      <c r="C138" s="37">
        <v>3127</v>
      </c>
      <c r="D138" s="37"/>
      <c r="G138" s="38"/>
      <c r="H138" s="39">
        <f>J138/(100+K138)*100</f>
        <v>0</v>
      </c>
      <c r="I138" s="39">
        <f>J138/(100+K138)*K138</f>
        <v>0</v>
      </c>
      <c r="J138" s="40"/>
      <c r="K138" s="1">
        <v>19</v>
      </c>
    </row>
    <row r="139" spans="1:11" ht="12.75">
      <c r="A139" s="44"/>
      <c r="B139" s="1" t="s">
        <v>120</v>
      </c>
      <c r="C139" s="37">
        <v>3128</v>
      </c>
      <c r="D139" s="37"/>
      <c r="G139" s="38"/>
      <c r="H139" s="39">
        <f>J139/(100+K139)*100</f>
        <v>0</v>
      </c>
      <c r="I139" s="39">
        <f>J139/(100+K139)*K139</f>
        <v>0</v>
      </c>
      <c r="J139" s="40"/>
      <c r="K139" s="1">
        <v>19</v>
      </c>
    </row>
    <row r="140" spans="1:11" ht="12.75">
      <c r="A140" s="44"/>
      <c r="B140" s="1" t="s">
        <v>120</v>
      </c>
      <c r="C140" s="37">
        <v>3129</v>
      </c>
      <c r="D140" s="37"/>
      <c r="G140" s="38"/>
      <c r="H140" s="39">
        <f>J140/(100+K140)*100</f>
        <v>0</v>
      </c>
      <c r="I140" s="39">
        <f>J140/(100+K140)*K140</f>
        <v>0</v>
      </c>
      <c r="J140" s="40"/>
      <c r="K140" s="1">
        <v>19</v>
      </c>
    </row>
    <row r="141" spans="1:11" ht="12.75">
      <c r="A141" s="44"/>
      <c r="B141" s="1" t="s">
        <v>120</v>
      </c>
      <c r="C141" s="37">
        <v>3130</v>
      </c>
      <c r="D141" s="37"/>
      <c r="G141" s="38"/>
      <c r="H141" s="39">
        <f>J141/(100+K141)*100</f>
        <v>0</v>
      </c>
      <c r="I141" s="39">
        <f>J141/(100+K141)*K141</f>
        <v>0</v>
      </c>
      <c r="J141" s="40"/>
      <c r="K141" s="1">
        <v>19</v>
      </c>
    </row>
    <row r="142" spans="1:11" ht="12.75">
      <c r="A142" s="44"/>
      <c r="B142" s="1" t="s">
        <v>120</v>
      </c>
      <c r="C142" s="37">
        <v>3131</v>
      </c>
      <c r="D142" s="37"/>
      <c r="G142" s="38"/>
      <c r="H142" s="39">
        <f>J142/(100+K142)*100</f>
        <v>0</v>
      </c>
      <c r="I142" s="39">
        <f>J142/(100+K142)*K142</f>
        <v>0</v>
      </c>
      <c r="J142" s="40"/>
      <c r="K142" s="1">
        <v>19</v>
      </c>
    </row>
    <row r="143" spans="1:11" ht="12.75">
      <c r="A143" s="44"/>
      <c r="B143" s="1" t="s">
        <v>120</v>
      </c>
      <c r="C143" s="37">
        <v>3132</v>
      </c>
      <c r="D143" s="37"/>
      <c r="G143" s="38"/>
      <c r="H143" s="39">
        <f>J143/(100+K143)*100</f>
        <v>0</v>
      </c>
      <c r="I143" s="39">
        <f>J143/(100+K143)*K143</f>
        <v>0</v>
      </c>
      <c r="J143" s="40"/>
      <c r="K143" s="1">
        <v>19</v>
      </c>
    </row>
    <row r="144" spans="1:11" ht="12.75">
      <c r="A144" s="44"/>
      <c r="B144" s="1" t="s">
        <v>120</v>
      </c>
      <c r="C144" s="37">
        <v>3133</v>
      </c>
      <c r="D144" s="37"/>
      <c r="G144" s="38"/>
      <c r="H144" s="39">
        <f>J144/(100+K144)*100</f>
        <v>0</v>
      </c>
      <c r="I144" s="39">
        <f>J144/(100+K144)*K144</f>
        <v>0</v>
      </c>
      <c r="J144" s="40"/>
      <c r="K144" s="1">
        <v>19</v>
      </c>
    </row>
    <row r="145" spans="1:11" ht="12.75">
      <c r="A145" s="44"/>
      <c r="B145" s="1" t="s">
        <v>120</v>
      </c>
      <c r="C145" s="37">
        <v>3134</v>
      </c>
      <c r="D145" s="37"/>
      <c r="F145" s="1" t="s">
        <v>121</v>
      </c>
      <c r="G145" s="38"/>
      <c r="H145" s="39">
        <f>J145/(100+K145)*100</f>
        <v>0</v>
      </c>
      <c r="I145" s="39">
        <f>J145/(100+K145)*K145</f>
        <v>0</v>
      </c>
      <c r="J145" s="40"/>
      <c r="K145" s="1">
        <v>19</v>
      </c>
    </row>
    <row r="146" spans="1:11" ht="12.75">
      <c r="A146" s="44"/>
      <c r="B146" s="1" t="s">
        <v>120</v>
      </c>
      <c r="C146" s="37">
        <v>3135</v>
      </c>
      <c r="D146" s="37"/>
      <c r="G146" s="38"/>
      <c r="H146" s="39">
        <f>J146/(100+K146)*100</f>
        <v>0</v>
      </c>
      <c r="I146" s="39">
        <f>J146/(100+K146)*K146</f>
        <v>0</v>
      </c>
      <c r="J146" s="40"/>
      <c r="K146" s="1">
        <v>19</v>
      </c>
    </row>
    <row r="147" spans="1:11" ht="12.75">
      <c r="A147" s="44"/>
      <c r="B147" s="1" t="s">
        <v>120</v>
      </c>
      <c r="C147" s="37">
        <v>3136</v>
      </c>
      <c r="D147" s="37"/>
      <c r="G147" s="38"/>
      <c r="H147" s="39">
        <f>J147/(100+K147)*100</f>
        <v>0</v>
      </c>
      <c r="I147" s="39">
        <f>J147/(100+K147)*K147</f>
        <v>0</v>
      </c>
      <c r="J147" s="40"/>
      <c r="K147" s="1">
        <v>19</v>
      </c>
    </row>
    <row r="148" spans="1:11" ht="12.75">
      <c r="A148" s="44"/>
      <c r="B148" s="1" t="s">
        <v>120</v>
      </c>
      <c r="C148" s="37">
        <v>3137</v>
      </c>
      <c r="D148" s="37"/>
      <c r="G148" s="38"/>
      <c r="H148" s="39">
        <f>J148/(100+K148)*100</f>
        <v>0</v>
      </c>
      <c r="I148" s="39">
        <f>J148/(100+K148)*K148</f>
        <v>0</v>
      </c>
      <c r="J148" s="40"/>
      <c r="K148" s="1">
        <v>19</v>
      </c>
    </row>
    <row r="149" spans="1:11" ht="12.75">
      <c r="A149" s="44"/>
      <c r="B149" s="1" t="s">
        <v>120</v>
      </c>
      <c r="C149" s="37">
        <v>3138</v>
      </c>
      <c r="D149" s="37"/>
      <c r="G149" s="38"/>
      <c r="H149" s="39">
        <f>J149/(100+K149)*100</f>
        <v>0</v>
      </c>
      <c r="I149" s="39">
        <f>J149/(100+K149)*K149</f>
        <v>0</v>
      </c>
      <c r="J149" s="40"/>
      <c r="K149" s="1">
        <v>19</v>
      </c>
    </row>
    <row r="150" spans="1:11" ht="12.75">
      <c r="A150" s="44"/>
      <c r="B150" s="1" t="s">
        <v>120</v>
      </c>
      <c r="C150" s="37">
        <v>3139</v>
      </c>
      <c r="D150" s="37"/>
      <c r="G150" s="38"/>
      <c r="H150" s="39">
        <f>J150/(100+K150)*100</f>
        <v>0</v>
      </c>
      <c r="I150" s="39">
        <f>J150/(100+K150)*K150</f>
        <v>0</v>
      </c>
      <c r="J150" s="40"/>
      <c r="K150" s="1">
        <v>19</v>
      </c>
    </row>
    <row r="151" spans="1:11" ht="12.75">
      <c r="A151" s="44"/>
      <c r="B151" s="1" t="s">
        <v>120</v>
      </c>
      <c r="C151" s="37">
        <v>3140</v>
      </c>
      <c r="D151" s="37"/>
      <c r="G151" s="38"/>
      <c r="H151" s="39">
        <f>J151/(100+K151)*100</f>
        <v>0</v>
      </c>
      <c r="I151" s="39">
        <f>J151/(100+K151)*K151</f>
        <v>0</v>
      </c>
      <c r="J151" s="40"/>
      <c r="K151" s="1">
        <v>19</v>
      </c>
    </row>
    <row r="152" spans="1:11" ht="12.75">
      <c r="A152" s="44"/>
      <c r="B152" s="1" t="s">
        <v>120</v>
      </c>
      <c r="C152" s="37">
        <v>3141</v>
      </c>
      <c r="D152" s="37"/>
      <c r="G152" s="38"/>
      <c r="H152" s="39">
        <f>J152/(100+K152)*100</f>
        <v>0</v>
      </c>
      <c r="I152" s="39">
        <f>J152/(100+K152)*K152</f>
        <v>0</v>
      </c>
      <c r="J152" s="40"/>
      <c r="K152" s="1">
        <v>19</v>
      </c>
    </row>
    <row r="153" spans="1:11" ht="12.75">
      <c r="A153" s="44"/>
      <c r="B153" s="1" t="s">
        <v>120</v>
      </c>
      <c r="C153" s="37">
        <v>3142</v>
      </c>
      <c r="D153" s="37"/>
      <c r="G153" s="38"/>
      <c r="H153" s="39">
        <f>J153/(100+K153)*100</f>
        <v>0</v>
      </c>
      <c r="I153" s="39">
        <f>J153/(100+K153)*K153</f>
        <v>0</v>
      </c>
      <c r="J153" s="40"/>
      <c r="K153" s="1">
        <v>19</v>
      </c>
    </row>
    <row r="154" spans="1:11" ht="12.75">
      <c r="A154" s="44"/>
      <c r="B154" s="1" t="s">
        <v>120</v>
      </c>
      <c r="C154" s="37">
        <v>3143</v>
      </c>
      <c r="D154" s="37"/>
      <c r="G154" s="38"/>
      <c r="H154" s="39">
        <f>J154/(100+K154)*100</f>
        <v>0</v>
      </c>
      <c r="I154" s="39">
        <f>J154/(100+K154)*K154</f>
        <v>0</v>
      </c>
      <c r="J154" s="40"/>
      <c r="K154" s="1">
        <v>19</v>
      </c>
    </row>
    <row r="155" spans="1:11" ht="12.75">
      <c r="A155" s="44"/>
      <c r="B155" s="1" t="s">
        <v>120</v>
      </c>
      <c r="C155" s="37">
        <v>3144</v>
      </c>
      <c r="D155" s="37"/>
      <c r="G155" s="38"/>
      <c r="H155" s="39">
        <f>J155/(100+K155)*100</f>
        <v>0</v>
      </c>
      <c r="I155" s="39">
        <f>J155/(100+K155)*K155</f>
        <v>0</v>
      </c>
      <c r="J155" s="40"/>
      <c r="K155" s="1">
        <v>19</v>
      </c>
    </row>
    <row r="156" spans="1:11" ht="12.75">
      <c r="A156" s="44"/>
      <c r="B156" s="1" t="s">
        <v>120</v>
      </c>
      <c r="C156" s="37">
        <v>3145</v>
      </c>
      <c r="D156" s="37"/>
      <c r="G156" s="38"/>
      <c r="H156" s="39">
        <f>J156/(100+K156)*100</f>
        <v>0</v>
      </c>
      <c r="I156" s="39">
        <f>J156/(100+K156)*K156</f>
        <v>0</v>
      </c>
      <c r="J156" s="40"/>
      <c r="K156" s="1">
        <v>19</v>
      </c>
    </row>
    <row r="157" spans="1:11" ht="12.75">
      <c r="A157" s="44"/>
      <c r="B157" s="1" t="s">
        <v>120</v>
      </c>
      <c r="C157" s="37">
        <v>3146</v>
      </c>
      <c r="D157" s="37"/>
      <c r="G157" s="38"/>
      <c r="H157" s="39">
        <f>J157/(100+K157)*100</f>
        <v>0</v>
      </c>
      <c r="I157" s="39">
        <f>J157/(100+K157)*K157</f>
        <v>0</v>
      </c>
      <c r="J157" s="40"/>
      <c r="K157" s="1">
        <v>19</v>
      </c>
    </row>
    <row r="158" spans="1:11" ht="12.75">
      <c r="A158" s="44"/>
      <c r="B158" s="1" t="s">
        <v>120</v>
      </c>
      <c r="C158" s="37">
        <v>3147</v>
      </c>
      <c r="D158" s="37"/>
      <c r="G158" s="38"/>
      <c r="H158" s="39">
        <f>J158/(100+K158)*100</f>
        <v>0</v>
      </c>
      <c r="I158" s="39">
        <f>J158/(100+K158)*K158</f>
        <v>0</v>
      </c>
      <c r="J158" s="40"/>
      <c r="K158" s="1">
        <v>19</v>
      </c>
    </row>
    <row r="159" spans="1:11" ht="12.75">
      <c r="A159" s="44"/>
      <c r="B159" s="1" t="s">
        <v>120</v>
      </c>
      <c r="C159" s="37">
        <v>3148</v>
      </c>
      <c r="D159" s="37"/>
      <c r="G159" s="38"/>
      <c r="H159" s="39">
        <f>J159/(100+K159)*100</f>
        <v>0</v>
      </c>
      <c r="I159" s="39">
        <f>J159/(100+K159)*K159</f>
        <v>0</v>
      </c>
      <c r="J159" s="40"/>
      <c r="K159" s="1">
        <v>19</v>
      </c>
    </row>
    <row r="160" spans="1:11" ht="12.75">
      <c r="A160" s="44"/>
      <c r="B160" s="1" t="s">
        <v>120</v>
      </c>
      <c r="C160" s="37">
        <v>3149</v>
      </c>
      <c r="D160" s="37"/>
      <c r="G160" s="38"/>
      <c r="H160" s="39">
        <f>J160/(100+K160)*100</f>
        <v>0</v>
      </c>
      <c r="I160" s="39">
        <f>J160/(100+K160)*K160</f>
        <v>0</v>
      </c>
      <c r="J160" s="40"/>
      <c r="K160" s="1">
        <v>19</v>
      </c>
    </row>
    <row r="161" spans="1:11" ht="12.75">
      <c r="A161" s="44"/>
      <c r="B161" s="1" t="s">
        <v>120</v>
      </c>
      <c r="C161" s="37">
        <v>3150</v>
      </c>
      <c r="D161" s="37"/>
      <c r="G161" s="38"/>
      <c r="H161" s="39">
        <f>J161/(100+K161)*100</f>
        <v>0</v>
      </c>
      <c r="I161" s="39">
        <f>J161/(100+K161)*K161</f>
        <v>0</v>
      </c>
      <c r="J161" s="40"/>
      <c r="K161" s="1">
        <v>19</v>
      </c>
    </row>
    <row r="162" spans="1:11" ht="12.75">
      <c r="A162" s="44"/>
      <c r="B162" s="1" t="s">
        <v>120</v>
      </c>
      <c r="C162" s="37">
        <v>3151</v>
      </c>
      <c r="D162" s="37"/>
      <c r="G162" s="38"/>
      <c r="H162" s="39">
        <f>J162/(100+K162)*100</f>
        <v>0</v>
      </c>
      <c r="I162" s="39">
        <f>J162/(100+K162)*K162</f>
        <v>0</v>
      </c>
      <c r="J162" s="40"/>
      <c r="K162" s="1">
        <v>19</v>
      </c>
    </row>
    <row r="163" spans="1:11" ht="12.75">
      <c r="A163" s="44"/>
      <c r="B163" s="1" t="s">
        <v>120</v>
      </c>
      <c r="C163" s="37">
        <v>3152</v>
      </c>
      <c r="D163" s="37"/>
      <c r="G163" s="38"/>
      <c r="H163" s="39">
        <f>J163/(100+K163)*100</f>
        <v>0</v>
      </c>
      <c r="I163" s="39">
        <f>J163/(100+K163)*K163</f>
        <v>0</v>
      </c>
      <c r="J163" s="40"/>
      <c r="K163" s="1">
        <v>19</v>
      </c>
    </row>
    <row r="164" spans="1:11" ht="12.75">
      <c r="A164" s="44"/>
      <c r="B164" s="1" t="s">
        <v>120</v>
      </c>
      <c r="C164" s="37">
        <v>3153</v>
      </c>
      <c r="D164" s="37"/>
      <c r="G164" s="38"/>
      <c r="H164" s="39">
        <f>J164/(100+K164)*100</f>
        <v>0</v>
      </c>
      <c r="I164" s="39">
        <f>J164/(100+K164)*K164</f>
        <v>0</v>
      </c>
      <c r="J164" s="40"/>
      <c r="K164" s="1">
        <v>19</v>
      </c>
    </row>
    <row r="165" spans="1:11" ht="12.75">
      <c r="A165" s="44"/>
      <c r="B165" s="1" t="s">
        <v>120</v>
      </c>
      <c r="C165" s="37">
        <v>3154</v>
      </c>
      <c r="D165" s="37"/>
      <c r="G165" s="38"/>
      <c r="H165" s="39">
        <f>J165/(100+K165)*100</f>
        <v>0</v>
      </c>
      <c r="I165" s="39">
        <f>J165/(100+K165)*K165</f>
        <v>0</v>
      </c>
      <c r="J165" s="40"/>
      <c r="K165" s="1">
        <v>19</v>
      </c>
    </row>
    <row r="166" spans="1:11" ht="12.75">
      <c r="A166" s="44"/>
      <c r="B166" s="1" t="s">
        <v>120</v>
      </c>
      <c r="C166" s="37">
        <v>3155</v>
      </c>
      <c r="D166" s="37"/>
      <c r="G166" s="38"/>
      <c r="H166" s="39">
        <f>J166/(100+K166)*100</f>
        <v>0</v>
      </c>
      <c r="I166" s="39">
        <f>J166/(100+K166)*K166</f>
        <v>0</v>
      </c>
      <c r="J166" s="40"/>
      <c r="K166" s="1">
        <v>19</v>
      </c>
    </row>
    <row r="167" spans="1:11" ht="12.75">
      <c r="A167" s="44"/>
      <c r="B167" s="1" t="s">
        <v>120</v>
      </c>
      <c r="C167" s="37">
        <v>3156</v>
      </c>
      <c r="D167" s="37"/>
      <c r="G167" s="38"/>
      <c r="H167" s="39">
        <f>J167/(100+K167)*100</f>
        <v>0</v>
      </c>
      <c r="I167" s="39">
        <f>J167/(100+K167)*K167</f>
        <v>0</v>
      </c>
      <c r="J167" s="40"/>
      <c r="K167" s="1">
        <v>19</v>
      </c>
    </row>
    <row r="168" spans="1:11" ht="12.75">
      <c r="A168" s="44"/>
      <c r="B168" s="1" t="s">
        <v>120</v>
      </c>
      <c r="C168" s="37">
        <v>3157</v>
      </c>
      <c r="D168" s="37"/>
      <c r="G168" s="38"/>
      <c r="H168" s="39">
        <f>J168/(100+K168)*100</f>
        <v>0</v>
      </c>
      <c r="I168" s="39">
        <f>J168/(100+K168)*K168</f>
        <v>0</v>
      </c>
      <c r="J168" s="40"/>
      <c r="K168" s="1">
        <v>19</v>
      </c>
    </row>
    <row r="169" spans="1:11" ht="12.75">
      <c r="A169" s="44"/>
      <c r="B169" s="1" t="s">
        <v>120</v>
      </c>
      <c r="C169" s="37">
        <v>3158</v>
      </c>
      <c r="D169" s="37"/>
      <c r="G169" s="38"/>
      <c r="H169" s="39">
        <f>J169/(100+K169)*100</f>
        <v>0</v>
      </c>
      <c r="I169" s="39">
        <f>J169/(100+K169)*K169</f>
        <v>0</v>
      </c>
      <c r="J169" s="40"/>
      <c r="K169" s="1">
        <v>19</v>
      </c>
    </row>
    <row r="170" spans="1:11" ht="12.75">
      <c r="A170" s="44"/>
      <c r="B170" s="1" t="s">
        <v>120</v>
      </c>
      <c r="C170" s="37">
        <v>3159</v>
      </c>
      <c r="D170" s="37"/>
      <c r="G170" s="38"/>
      <c r="H170" s="39">
        <f>J170/(100+K170)*100</f>
        <v>0</v>
      </c>
      <c r="I170" s="39">
        <f>J170/(100+K170)*K170</f>
        <v>0</v>
      </c>
      <c r="J170" s="40"/>
      <c r="K170" s="1">
        <v>19</v>
      </c>
    </row>
    <row r="171" spans="1:11" ht="12.75">
      <c r="A171" s="44"/>
      <c r="B171" s="1" t="s">
        <v>120</v>
      </c>
      <c r="C171" s="37">
        <v>3160</v>
      </c>
      <c r="D171" s="37"/>
      <c r="G171" s="38"/>
      <c r="H171" s="39">
        <f>J171/(100+K171)*100</f>
        <v>0</v>
      </c>
      <c r="I171" s="39">
        <f>J171/(100+K171)*K171</f>
        <v>0</v>
      </c>
      <c r="J171" s="40"/>
      <c r="K171" s="1">
        <v>19</v>
      </c>
    </row>
    <row r="172" spans="1:11" ht="12.75">
      <c r="A172" s="44"/>
      <c r="B172" s="1" t="s">
        <v>120</v>
      </c>
      <c r="C172" s="37">
        <v>3161</v>
      </c>
      <c r="D172" s="37"/>
      <c r="G172" s="38"/>
      <c r="H172" s="39">
        <f>J172/(100+K172)*100</f>
        <v>0</v>
      </c>
      <c r="I172" s="39">
        <f>J172/(100+K172)*K172</f>
        <v>0</v>
      </c>
      <c r="J172" s="40"/>
      <c r="K172" s="1">
        <v>19</v>
      </c>
    </row>
    <row r="173" spans="1:11" ht="12.75">
      <c r="A173" s="44"/>
      <c r="B173" s="1" t="s">
        <v>120</v>
      </c>
      <c r="C173" s="37">
        <v>3162</v>
      </c>
      <c r="D173" s="37"/>
      <c r="G173" s="38"/>
      <c r="H173" s="39">
        <f>J173/(100+K173)*100</f>
        <v>0</v>
      </c>
      <c r="I173" s="39">
        <f>J173/(100+K173)*K173</f>
        <v>0</v>
      </c>
      <c r="J173" s="40"/>
      <c r="K173" s="1">
        <v>19</v>
      </c>
    </row>
    <row r="174" spans="1:11" ht="12.75">
      <c r="A174" s="44"/>
      <c r="B174" s="1" t="s">
        <v>120</v>
      </c>
      <c r="C174" s="37">
        <v>3163</v>
      </c>
      <c r="D174" s="37"/>
      <c r="G174" s="38"/>
      <c r="H174" s="39">
        <f>J174/(100+K174)*100</f>
        <v>0</v>
      </c>
      <c r="I174" s="39">
        <f>J174/(100+K174)*K174</f>
        <v>0</v>
      </c>
      <c r="J174" s="40"/>
      <c r="K174" s="1">
        <v>19</v>
      </c>
    </row>
    <row r="175" spans="1:11" ht="12.75">
      <c r="A175" s="44"/>
      <c r="B175" s="1" t="s">
        <v>120</v>
      </c>
      <c r="C175" s="37">
        <v>3164</v>
      </c>
      <c r="D175" s="37"/>
      <c r="G175" s="38"/>
      <c r="H175" s="39">
        <f>J175/(100+K175)*100</f>
        <v>0</v>
      </c>
      <c r="I175" s="39">
        <f>J175/(100+K175)*K175</f>
        <v>0</v>
      </c>
      <c r="J175" s="40"/>
      <c r="K175" s="1">
        <v>19</v>
      </c>
    </row>
    <row r="176" spans="1:11" ht="12.75">
      <c r="A176" s="44"/>
      <c r="B176" s="1" t="s">
        <v>120</v>
      </c>
      <c r="C176" s="37">
        <v>3165</v>
      </c>
      <c r="D176" s="37"/>
      <c r="G176" s="38"/>
      <c r="H176" s="39">
        <f>J176/(100+K176)*100</f>
        <v>0</v>
      </c>
      <c r="I176" s="39">
        <f>J176/(100+K176)*K176</f>
        <v>0</v>
      </c>
      <c r="J176" s="40"/>
      <c r="K176" s="1">
        <v>19</v>
      </c>
    </row>
    <row r="177" spans="1:11" ht="12.75">
      <c r="A177" s="44"/>
      <c r="B177" s="1" t="s">
        <v>120</v>
      </c>
      <c r="C177" s="37">
        <v>3166</v>
      </c>
      <c r="D177" s="37"/>
      <c r="G177" s="38"/>
      <c r="H177" s="39">
        <f>J177/(100+K177)*100</f>
        <v>0</v>
      </c>
      <c r="I177" s="39">
        <f>J177/(100+K177)*K177</f>
        <v>0</v>
      </c>
      <c r="J177" s="40"/>
      <c r="K177" s="1">
        <v>19</v>
      </c>
    </row>
    <row r="178" spans="1:11" ht="12.75">
      <c r="A178" s="44"/>
      <c r="B178" s="1" t="s">
        <v>120</v>
      </c>
      <c r="C178" s="37">
        <v>3167</v>
      </c>
      <c r="D178" s="37"/>
      <c r="G178" s="38"/>
      <c r="H178" s="39">
        <f>J178/(100+K178)*100</f>
        <v>0</v>
      </c>
      <c r="I178" s="39">
        <f>J178/(100+K178)*K178</f>
        <v>0</v>
      </c>
      <c r="J178" s="40"/>
      <c r="K178" s="1">
        <v>19</v>
      </c>
    </row>
    <row r="179" spans="1:11" ht="12.75">
      <c r="A179" s="44"/>
      <c r="B179" s="1" t="s">
        <v>120</v>
      </c>
      <c r="C179" s="37">
        <v>3168</v>
      </c>
      <c r="D179" s="37"/>
      <c r="G179" s="38"/>
      <c r="H179" s="39">
        <f>J179/(100+K179)*100</f>
        <v>0</v>
      </c>
      <c r="I179" s="39">
        <f>J179/(100+K179)*K179</f>
        <v>0</v>
      </c>
      <c r="J179" s="40"/>
      <c r="K179" s="1">
        <v>19</v>
      </c>
    </row>
    <row r="180" spans="1:11" ht="12.75">
      <c r="A180" s="44"/>
      <c r="B180" s="1" t="s">
        <v>120</v>
      </c>
      <c r="C180" s="37">
        <v>3169</v>
      </c>
      <c r="D180" s="37"/>
      <c r="G180" s="38"/>
      <c r="H180" s="39">
        <f>J180/(100+K180)*100</f>
        <v>0</v>
      </c>
      <c r="I180" s="39">
        <f>J180/(100+K180)*K180</f>
        <v>0</v>
      </c>
      <c r="J180" s="40"/>
      <c r="K180" s="1">
        <v>19</v>
      </c>
    </row>
    <row r="181" spans="1:11" ht="12.75">
      <c r="A181" s="44"/>
      <c r="B181" s="1" t="s">
        <v>120</v>
      </c>
      <c r="C181" s="37">
        <v>3170</v>
      </c>
      <c r="D181" s="37"/>
      <c r="G181" s="38"/>
      <c r="H181" s="39">
        <f>J181/(100+K181)*100</f>
        <v>0</v>
      </c>
      <c r="I181" s="39">
        <f>J181/(100+K181)*K181</f>
        <v>0</v>
      </c>
      <c r="J181" s="40"/>
      <c r="K181" s="1">
        <v>19</v>
      </c>
    </row>
    <row r="182" spans="1:11" ht="12.75">
      <c r="A182" s="44"/>
      <c r="B182" s="1" t="s">
        <v>120</v>
      </c>
      <c r="C182" s="37">
        <v>3171</v>
      </c>
      <c r="D182" s="37"/>
      <c r="G182" s="38"/>
      <c r="H182" s="39">
        <f>J182/(100+K182)*100</f>
        <v>0</v>
      </c>
      <c r="I182" s="39">
        <f>J182/(100+K182)*K182</f>
        <v>0</v>
      </c>
      <c r="J182" s="40"/>
      <c r="K182" s="1">
        <v>19</v>
      </c>
    </row>
    <row r="183" spans="1:10" ht="12.75">
      <c r="A183" s="44"/>
      <c r="B183" s="1" t="s">
        <v>120</v>
      </c>
      <c r="C183" s="37">
        <v>3172</v>
      </c>
      <c r="D183" s="37"/>
      <c r="G183" s="38"/>
      <c r="H183" s="39">
        <f>J183/(100+K183)*100</f>
        <v>0</v>
      </c>
      <c r="I183" s="39">
        <f>J183/(100+K183)*K183</f>
        <v>0</v>
      </c>
      <c r="J183" s="40"/>
    </row>
    <row r="184" spans="1:10" ht="12.75">
      <c r="A184" s="44"/>
      <c r="B184" s="1" t="s">
        <v>120</v>
      </c>
      <c r="C184" s="37">
        <v>3173</v>
      </c>
      <c r="D184" s="37"/>
      <c r="G184" s="38"/>
      <c r="H184" s="39">
        <f>J184/(100+K184)*100</f>
        <v>0</v>
      </c>
      <c r="I184" s="39">
        <f>J184/(100+K184)*K184</f>
        <v>0</v>
      </c>
      <c r="J184" s="40"/>
    </row>
    <row r="185" spans="1:10" ht="12.75">
      <c r="A185" s="44"/>
      <c r="B185" s="1" t="s">
        <v>120</v>
      </c>
      <c r="C185" s="37">
        <v>3174</v>
      </c>
      <c r="D185" s="37"/>
      <c r="G185" s="38"/>
      <c r="H185" s="39">
        <f>J185/(100+K185)*100</f>
        <v>0</v>
      </c>
      <c r="I185" s="39">
        <f>J185/(100+K185)*K185</f>
        <v>0</v>
      </c>
      <c r="J185" s="40"/>
    </row>
    <row r="186" spans="1:10" ht="12.75">
      <c r="A186" s="44"/>
      <c r="B186" s="1" t="s">
        <v>120</v>
      </c>
      <c r="C186" s="37">
        <v>3175</v>
      </c>
      <c r="D186" s="37"/>
      <c r="G186" s="38"/>
      <c r="H186" s="39">
        <f>J186/(100+K186)*100</f>
        <v>0</v>
      </c>
      <c r="I186" s="39">
        <f>J186/(100+K186)*K186</f>
        <v>0</v>
      </c>
      <c r="J186" s="40"/>
    </row>
    <row r="187" spans="1:10" ht="12.75">
      <c r="A187" s="44"/>
      <c r="B187" s="1" t="s">
        <v>120</v>
      </c>
      <c r="C187" s="37">
        <v>3176</v>
      </c>
      <c r="D187" s="37"/>
      <c r="G187" s="38"/>
      <c r="H187" s="39">
        <f>J187/(100+K187)*100</f>
        <v>0</v>
      </c>
      <c r="I187" s="39">
        <f>J187/(100+K187)*K187</f>
        <v>0</v>
      </c>
      <c r="J187" s="40"/>
    </row>
    <row r="188" spans="1:10" ht="12.75">
      <c r="A188" s="44"/>
      <c r="B188" s="1" t="s">
        <v>120</v>
      </c>
      <c r="C188" s="37">
        <v>3177</v>
      </c>
      <c r="D188" s="37"/>
      <c r="G188" s="38"/>
      <c r="H188" s="39">
        <f>J188/(100+K188)*100</f>
        <v>0</v>
      </c>
      <c r="I188" s="39">
        <f>J188/(100+K188)*K188</f>
        <v>0</v>
      </c>
      <c r="J188" s="40"/>
    </row>
    <row r="189" spans="1:10" ht="12.75">
      <c r="A189" s="44"/>
      <c r="B189" s="1" t="s">
        <v>120</v>
      </c>
      <c r="C189" s="37">
        <v>3178</v>
      </c>
      <c r="D189" s="37"/>
      <c r="G189" s="38"/>
      <c r="H189" s="39">
        <f>J189/(100+K189)*100</f>
        <v>0</v>
      </c>
      <c r="I189" s="39">
        <f>J189/(100+K189)*K189</f>
        <v>0</v>
      </c>
      <c r="J189" s="40"/>
    </row>
    <row r="190" spans="1:10" ht="12.75">
      <c r="A190" s="44"/>
      <c r="B190" s="1" t="s">
        <v>120</v>
      </c>
      <c r="C190" s="37">
        <v>3179</v>
      </c>
      <c r="D190" s="37"/>
      <c r="G190" s="38"/>
      <c r="H190" s="39">
        <f>J190/(100+K190)*100</f>
        <v>0</v>
      </c>
      <c r="I190" s="39">
        <f>J190/(100+K190)*K190</f>
        <v>0</v>
      </c>
      <c r="J190" s="40"/>
    </row>
    <row r="191" spans="1:10" ht="12.75">
      <c r="A191" s="44"/>
      <c r="B191" s="1" t="s">
        <v>120</v>
      </c>
      <c r="C191" s="37">
        <v>3180</v>
      </c>
      <c r="D191" s="37"/>
      <c r="G191" s="38"/>
      <c r="H191" s="39">
        <f>J191/(100+K191)*100</f>
        <v>0</v>
      </c>
      <c r="I191" s="39">
        <f>J191/(100+K191)*K191</f>
        <v>0</v>
      </c>
      <c r="J191" s="40"/>
    </row>
    <row r="192" spans="1:10" ht="12.75">
      <c r="A192" s="44"/>
      <c r="C192" s="37"/>
      <c r="D192" s="37"/>
      <c r="G192" s="38"/>
      <c r="H192" s="39"/>
      <c r="I192" s="39"/>
      <c r="J192" s="40"/>
    </row>
    <row r="193" spans="1:10" ht="12.75">
      <c r="A193" s="44"/>
      <c r="C193" s="37"/>
      <c r="D193" s="37"/>
      <c r="G193" s="38"/>
      <c r="H193" s="39"/>
      <c r="I193" s="39"/>
      <c r="J193" s="40"/>
    </row>
    <row r="194" spans="1:10" ht="12.75">
      <c r="A194" s="44"/>
      <c r="C194" s="37"/>
      <c r="D194" s="37"/>
      <c r="G194" s="38"/>
      <c r="H194" s="39"/>
      <c r="I194" s="39"/>
      <c r="J194" s="40"/>
    </row>
    <row r="195" spans="1:10" ht="12.75">
      <c r="A195" s="44"/>
      <c r="C195" s="37"/>
      <c r="D195" s="37"/>
      <c r="G195" s="38"/>
      <c r="H195" s="39"/>
      <c r="I195" s="39"/>
      <c r="J195" s="40"/>
    </row>
    <row r="196" spans="1:10" ht="12.75">
      <c r="A196" s="44"/>
      <c r="C196" s="37"/>
      <c r="D196" s="37"/>
      <c r="G196" s="38"/>
      <c r="H196" s="39"/>
      <c r="I196" s="39"/>
      <c r="J196" s="40"/>
    </row>
    <row r="197" spans="1:10" ht="12.75">
      <c r="A197" s="44"/>
      <c r="C197" s="37"/>
      <c r="D197" s="37"/>
      <c r="G197" s="38"/>
      <c r="H197" s="39"/>
      <c r="I197" s="39"/>
      <c r="J197" s="40"/>
    </row>
    <row r="198" spans="1:10" ht="12.75">
      <c r="A198" s="44"/>
      <c r="C198" s="37"/>
      <c r="D198" s="37"/>
      <c r="G198" s="38"/>
      <c r="H198" s="39"/>
      <c r="I198" s="39"/>
      <c r="J198" s="40"/>
    </row>
    <row r="199" spans="1:10" ht="12.75">
      <c r="A199" s="44"/>
      <c r="C199" s="37"/>
      <c r="D199" s="37"/>
      <c r="G199" s="38"/>
      <c r="H199" s="39"/>
      <c r="I199" s="39"/>
      <c r="J199" s="40"/>
    </row>
    <row r="200" spans="1:10" ht="12.75">
      <c r="A200" s="44"/>
      <c r="C200" s="37"/>
      <c r="D200" s="37"/>
      <c r="G200" s="38"/>
      <c r="H200" s="39"/>
      <c r="I200" s="39"/>
      <c r="J200" s="40"/>
    </row>
    <row r="201" spans="1:10" ht="12.75">
      <c r="A201" s="44"/>
      <c r="C201" s="37"/>
      <c r="D201" s="37"/>
      <c r="G201" s="38"/>
      <c r="H201" s="39"/>
      <c r="I201" s="39"/>
      <c r="J201" s="40"/>
    </row>
    <row r="202" spans="1:10" ht="12.75">
      <c r="A202" s="63"/>
      <c r="B202" s="64"/>
      <c r="C202" s="65"/>
      <c r="D202" s="65"/>
      <c r="E202" s="64"/>
      <c r="F202" s="64"/>
      <c r="G202" s="63"/>
      <c r="H202" s="66"/>
      <c r="I202" s="66"/>
      <c r="J202" s="67"/>
    </row>
    <row r="203" spans="1:12" ht="12.75">
      <c r="A203" s="58" t="s">
        <v>106</v>
      </c>
      <c r="B203" s="48" t="s">
        <v>120</v>
      </c>
      <c r="C203" s="49"/>
      <c r="D203" s="49"/>
      <c r="E203" s="48"/>
      <c r="F203" s="48"/>
      <c r="G203" s="48"/>
      <c r="H203" s="51">
        <f>SUM(H2:H201)</f>
        <v>0</v>
      </c>
      <c r="I203" s="51">
        <f>SUM(I2:I201)</f>
        <v>0</v>
      </c>
      <c r="J203" s="51">
        <f>SUM(J2:J201)</f>
        <v>0</v>
      </c>
      <c r="K203" s="48"/>
      <c r="L203" s="52"/>
    </row>
    <row r="204" spans="1:10" ht="12.75">
      <c r="A204" s="63"/>
      <c r="B204" s="64"/>
      <c r="C204" s="65"/>
      <c r="D204" s="65"/>
      <c r="E204" s="64"/>
      <c r="F204" s="64"/>
      <c r="G204" s="63"/>
      <c r="H204" s="64"/>
      <c r="I204" s="64"/>
      <c r="J204" s="63"/>
    </row>
    <row r="206" ht="12.75">
      <c r="A206" s="59" t="s">
        <v>122</v>
      </c>
    </row>
    <row r="208" spans="1:7" ht="12.75">
      <c r="A208" s="60"/>
      <c r="B208" s="60"/>
      <c r="C208" s="60"/>
      <c r="D208" s="60"/>
      <c r="E208" s="60"/>
      <c r="F208" s="60"/>
      <c r="G208" s="60"/>
    </row>
    <row r="209" ht="12.75">
      <c r="A209" s="17" t="s">
        <v>32</v>
      </c>
    </row>
    <row r="210" ht="12.75">
      <c r="A210" s="17" t="s">
        <v>33</v>
      </c>
    </row>
    <row r="211" ht="12.75">
      <c r="A211" s="1" t="s">
        <v>34</v>
      </c>
    </row>
    <row r="212" ht="12.75">
      <c r="A212" s="1" t="s">
        <v>35</v>
      </c>
    </row>
    <row r="213" ht="12.75">
      <c r="A213" s="1" t="s">
        <v>48</v>
      </c>
    </row>
    <row r="214" ht="12.75">
      <c r="A214" s="17" t="s">
        <v>37</v>
      </c>
    </row>
    <row r="216" ht="12.75">
      <c r="A216" s="17" t="s">
        <v>38</v>
      </c>
    </row>
    <row r="217" ht="12.75">
      <c r="A217" s="1" t="s">
        <v>39</v>
      </c>
    </row>
    <row r="218" ht="12.75">
      <c r="A218" s="1" t="s">
        <v>40</v>
      </c>
    </row>
    <row r="219" ht="12.75">
      <c r="A219" s="1" t="s">
        <v>49</v>
      </c>
    </row>
    <row r="220" ht="12.75">
      <c r="A220" s="17" t="s">
        <v>42</v>
      </c>
    </row>
    <row r="222" spans="1:5" ht="12.75">
      <c r="A222"/>
      <c r="B222" s="18" t="s">
        <v>43</v>
      </c>
      <c r="C222" s="18"/>
      <c r="D222" s="18"/>
      <c r="E222" s="18"/>
    </row>
    <row r="223" spans="1:5" ht="12.75">
      <c r="A223"/>
      <c r="B223" s="19" t="s">
        <v>44</v>
      </c>
      <c r="C223" s="19"/>
      <c r="D223" s="19"/>
      <c r="E223" s="19"/>
    </row>
    <row r="224" spans="1:4" ht="12.75">
      <c r="A224"/>
      <c r="B224" s="20">
        <v>4917621008967</v>
      </c>
      <c r="C224" s="20"/>
      <c r="D224" s="20"/>
    </row>
    <row r="226" ht="12.75">
      <c r="B226" s="21" t="s">
        <v>45</v>
      </c>
    </row>
  </sheetData>
  <sheetProtection selectLockedCells="1" selectUnlockedCells="1"/>
  <mergeCells count="3">
    <mergeCell ref="B222:E222"/>
    <mergeCell ref="B223:E223"/>
    <mergeCell ref="B224:D224"/>
  </mergeCells>
  <hyperlinks>
    <hyperlink ref="B223" r:id="rId1" display="office@arminfischer.com"/>
    <hyperlink ref="B226" r:id="rId2" display="http://Computerservice.arminfischer.com"/>
  </hyperlinks>
  <printOptions gridLines="1"/>
  <pageMargins left="0.7479166666666667" right="0.7479166666666667" top="0.9840277777777777" bottom="0.9854166666666667" header="0.5118055555555555" footer="0"/>
  <pageSetup horizontalDpi="300" verticalDpi="300" orientation="landscape" paperSize="9" scale="80"/>
  <headerFooter alignWithMargins="0">
    <oddFooter>&amp;C&amp;10Seite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4">
      <selection activeCell="G49" sqref="G49"/>
    </sheetView>
  </sheetViews>
  <sheetFormatPr defaultColWidth="9.77734375" defaultRowHeight="15"/>
  <cols>
    <col min="1" max="1" width="14.77734375" style="1" customWidth="1"/>
    <col min="2" max="2" width="9.6640625" style="1" customWidth="1"/>
    <col min="3" max="3" width="12.5546875" style="1" customWidth="1"/>
    <col min="4" max="4" width="13.21484375" style="1" customWidth="1"/>
    <col min="5" max="5" width="14.3359375" style="1" customWidth="1"/>
    <col min="6" max="16384" width="9.6640625" style="1" customWidth="1"/>
  </cols>
  <sheetData>
    <row r="1" spans="1:18" ht="12.75">
      <c r="A1" s="30"/>
      <c r="B1" s="31" t="s">
        <v>87</v>
      </c>
      <c r="C1" s="30"/>
      <c r="D1" s="30"/>
      <c r="E1" s="30"/>
      <c r="F1" s="30"/>
      <c r="G1" s="30"/>
      <c r="H1" s="31"/>
      <c r="I1" s="30"/>
      <c r="J1" s="30"/>
      <c r="K1" s="30"/>
      <c r="L1" s="30"/>
      <c r="M1" s="30"/>
      <c r="N1" s="31"/>
      <c r="O1" s="30"/>
      <c r="P1" s="30"/>
      <c r="Q1" s="30"/>
      <c r="R1" s="30"/>
    </row>
    <row r="2" spans="1:18" ht="12.75">
      <c r="A2" s="30"/>
      <c r="B2" s="32" t="s">
        <v>88</v>
      </c>
      <c r="C2" s="30"/>
      <c r="D2" s="30"/>
      <c r="E2" s="30">
        <v>2023</v>
      </c>
      <c r="F2" s="30"/>
      <c r="G2" s="30"/>
      <c r="H2" s="32" t="s">
        <v>123</v>
      </c>
      <c r="I2" s="30"/>
      <c r="J2" s="30"/>
      <c r="K2" s="30"/>
      <c r="L2" s="30"/>
      <c r="M2" s="30"/>
      <c r="N2" s="32"/>
      <c r="O2" s="30"/>
      <c r="P2" s="30"/>
      <c r="Q2" s="30"/>
      <c r="R2" s="30"/>
    </row>
    <row r="3" spans="1:18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2.75">
      <c r="A5" s="30"/>
      <c r="B5" s="30" t="s">
        <v>124</v>
      </c>
      <c r="C5" s="30"/>
      <c r="D5" s="30"/>
      <c r="E5" s="30" t="s">
        <v>125</v>
      </c>
      <c r="F5" s="68">
        <f ca="1">TODAY()</f>
        <v>45312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2:7" ht="12.75">
      <c r="B7" s="1" t="s">
        <v>91</v>
      </c>
      <c r="C7" s="1" t="s">
        <v>97</v>
      </c>
      <c r="D7" s="1" t="s">
        <v>126</v>
      </c>
      <c r="E7" s="1" t="s">
        <v>99</v>
      </c>
      <c r="G7" s="69"/>
    </row>
    <row r="8" spans="3:7" ht="12.75">
      <c r="C8" s="70"/>
      <c r="D8" s="70"/>
      <c r="E8" s="70"/>
      <c r="G8" s="69"/>
    </row>
    <row r="9" spans="1:7" ht="12.75">
      <c r="A9" s="1" t="s">
        <v>127</v>
      </c>
      <c r="B9" s="1" t="s">
        <v>104</v>
      </c>
      <c r="C9" s="39">
        <f>BH_Erloese_EUeR!H96</f>
        <v>0</v>
      </c>
      <c r="D9" s="39">
        <f>BH_Erloese_EUeR!I96</f>
        <v>0</v>
      </c>
      <c r="E9" s="39">
        <f>BH_Erloese_EUeR!J96</f>
        <v>0</v>
      </c>
      <c r="G9" s="69"/>
    </row>
    <row r="10" spans="1:7" ht="12.75">
      <c r="A10" s="1" t="s">
        <v>128</v>
      </c>
      <c r="B10" s="1" t="s">
        <v>104</v>
      </c>
      <c r="C10" s="39">
        <f>BH_Erloese_EUeR!H195</f>
        <v>0</v>
      </c>
      <c r="D10" s="39">
        <f>BH_Erloese_EUeR!I195</f>
        <v>0</v>
      </c>
      <c r="E10" s="39">
        <f>BH_Erloese_EUeR!J195</f>
        <v>0</v>
      </c>
      <c r="G10" s="69"/>
    </row>
    <row r="11" spans="3:7" ht="12.75">
      <c r="C11" s="39"/>
      <c r="D11" s="39"/>
      <c r="E11" s="39"/>
      <c r="G11" s="69"/>
    </row>
    <row r="12" spans="1:7" ht="12.75">
      <c r="A12" s="1" t="s">
        <v>129</v>
      </c>
      <c r="B12" s="1" t="s">
        <v>111</v>
      </c>
      <c r="C12" s="39">
        <f>BH_Erloese_EUeR!H232</f>
        <v>0</v>
      </c>
      <c r="D12" s="39">
        <f>BH_Erloese_EUeR!I232</f>
        <v>0</v>
      </c>
      <c r="E12" s="39">
        <f>BH_Erloese_EUeR!J232</f>
        <v>0</v>
      </c>
      <c r="G12" s="69"/>
    </row>
    <row r="13" spans="3:7" ht="12.75">
      <c r="C13" s="39"/>
      <c r="D13" s="39"/>
      <c r="E13" s="39"/>
      <c r="G13" s="69"/>
    </row>
    <row r="14" spans="1:7" ht="12.75">
      <c r="A14" s="1" t="s">
        <v>112</v>
      </c>
      <c r="B14" s="1" t="s">
        <v>111</v>
      </c>
      <c r="C14" s="39">
        <f>BH_Erloese_EUeR!H271</f>
        <v>0</v>
      </c>
      <c r="D14" s="39">
        <f>BH_Erloese_EUeR!I271</f>
        <v>0</v>
      </c>
      <c r="E14" s="39">
        <f>BH_Erloese_EUeR!J271</f>
        <v>0</v>
      </c>
      <c r="G14" s="69"/>
    </row>
    <row r="15" spans="3:7" ht="12.75">
      <c r="C15" s="39"/>
      <c r="D15" s="39"/>
      <c r="E15" s="39"/>
      <c r="G15" s="69"/>
    </row>
    <row r="16" spans="1:7" ht="12.75">
      <c r="A16" s="1" t="s">
        <v>112</v>
      </c>
      <c r="B16" s="1" t="s">
        <v>111</v>
      </c>
      <c r="C16" s="39"/>
      <c r="D16" s="39"/>
      <c r="E16" s="39"/>
      <c r="G16" s="69"/>
    </row>
    <row r="17" spans="3:7" ht="12.75">
      <c r="C17" s="39"/>
      <c r="D17" s="39"/>
      <c r="E17" s="39"/>
      <c r="G17" s="69"/>
    </row>
    <row r="18" spans="1:7" ht="12.75">
      <c r="A18" s="1" t="s">
        <v>118</v>
      </c>
      <c r="B18" s="1" t="s">
        <v>120</v>
      </c>
      <c r="C18" s="39">
        <f>BH_Aufwand_alt!G203</f>
        <v>0</v>
      </c>
      <c r="D18" s="39">
        <f>BH_Aufwand_alt!H203</f>
        <v>0</v>
      </c>
      <c r="E18" s="39">
        <f>BH_Aufwand_alt!I203</f>
        <v>0</v>
      </c>
      <c r="G18" s="69"/>
    </row>
    <row r="19" spans="3:7" ht="12.75">
      <c r="C19" s="39"/>
      <c r="D19" s="39"/>
      <c r="E19" s="39"/>
      <c r="G19" s="69"/>
    </row>
    <row r="20" spans="3:7" ht="12.75">
      <c r="C20" s="39"/>
      <c r="D20" s="39"/>
      <c r="E20" s="39"/>
      <c r="G20" s="69"/>
    </row>
    <row r="21" spans="3:7" ht="12.75">
      <c r="C21" s="47"/>
      <c r="D21" s="47"/>
      <c r="E21" s="47"/>
      <c r="G21" s="69"/>
    </row>
    <row r="22" spans="1:7" ht="12.75">
      <c r="A22" s="1" t="s">
        <v>130</v>
      </c>
      <c r="C22" s="47">
        <f>C9+C10+C12+C14</f>
        <v>0</v>
      </c>
      <c r="D22" s="47">
        <f>D9+D10+D12+D14</f>
        <v>0</v>
      </c>
      <c r="E22" s="47">
        <f>E9+E10+E12+E14</f>
        <v>0</v>
      </c>
      <c r="G22" s="69"/>
    </row>
    <row r="23" spans="3:7" ht="12.75">
      <c r="C23" s="47"/>
      <c r="D23" s="47"/>
      <c r="E23" s="47"/>
      <c r="G23" s="69"/>
    </row>
    <row r="24" spans="1:7" ht="12.75">
      <c r="A24" s="71" t="s">
        <v>131</v>
      </c>
      <c r="B24" s="71"/>
      <c r="C24" s="72">
        <f>C22-C18</f>
        <v>0</v>
      </c>
      <c r="D24" s="72">
        <f>D22-D18</f>
        <v>0</v>
      </c>
      <c r="E24" s="72">
        <f>E22-E18</f>
        <v>0</v>
      </c>
      <c r="G24" s="69"/>
    </row>
    <row r="25" ht="12.75">
      <c r="G25" s="69"/>
    </row>
    <row r="26" ht="12.75">
      <c r="G26" s="69"/>
    </row>
    <row r="27" ht="12.75">
      <c r="G27" s="69"/>
    </row>
    <row r="28" spans="1:7" ht="12.75">
      <c r="A28" s="69"/>
      <c r="B28" s="69"/>
      <c r="C28" s="69"/>
      <c r="D28" s="69"/>
      <c r="E28" s="69"/>
      <c r="F28" s="69"/>
      <c r="G28" s="69"/>
    </row>
    <row r="31" ht="12.75">
      <c r="A31" s="17" t="s">
        <v>32</v>
      </c>
    </row>
    <row r="32" ht="12.75">
      <c r="A32" s="17" t="s">
        <v>33</v>
      </c>
    </row>
    <row r="33" ht="12.75">
      <c r="A33" s="1" t="s">
        <v>34</v>
      </c>
    </row>
    <row r="34" ht="12.75">
      <c r="A34" s="1" t="s">
        <v>35</v>
      </c>
    </row>
    <row r="35" ht="12.75">
      <c r="A35" s="1" t="s">
        <v>48</v>
      </c>
    </row>
    <row r="36" ht="12.75">
      <c r="A36" s="17" t="s">
        <v>37</v>
      </c>
    </row>
    <row r="38" ht="12.75">
      <c r="A38" s="17" t="s">
        <v>38</v>
      </c>
    </row>
    <row r="39" ht="12.75">
      <c r="A39" s="1" t="s">
        <v>39</v>
      </c>
    </row>
    <row r="40" ht="12.75">
      <c r="A40" s="1" t="s">
        <v>40</v>
      </c>
    </row>
    <row r="41" ht="12.75">
      <c r="A41" s="1" t="s">
        <v>49</v>
      </c>
    </row>
    <row r="42" ht="12.75">
      <c r="A42" s="17" t="s">
        <v>42</v>
      </c>
    </row>
    <row r="44" spans="1:4" ht="12.75">
      <c r="A44"/>
      <c r="B44" s="18" t="s">
        <v>43</v>
      </c>
      <c r="C44" s="18"/>
      <c r="D44" s="18"/>
    </row>
    <row r="45" spans="1:4" ht="12.75">
      <c r="A45"/>
      <c r="B45" s="19" t="s">
        <v>44</v>
      </c>
      <c r="C45" s="19"/>
      <c r="D45" s="19"/>
    </row>
    <row r="46" spans="1:4" ht="12.75">
      <c r="A46"/>
      <c r="B46" s="20">
        <v>4917621008967</v>
      </c>
      <c r="C46" s="20"/>
      <c r="D46" s="20"/>
    </row>
    <row r="48" ht="12.75">
      <c r="B48" s="21" t="s">
        <v>45</v>
      </c>
    </row>
  </sheetData>
  <sheetProtection selectLockedCells="1" selectUnlockedCells="1"/>
  <mergeCells count="3">
    <mergeCell ref="B44:D44"/>
    <mergeCell ref="B45:D45"/>
    <mergeCell ref="B46:D46"/>
  </mergeCells>
  <hyperlinks>
    <hyperlink ref="B45" r:id="rId1" display="office@arminfischer.com"/>
    <hyperlink ref="B48" r:id="rId2" display="http://Computerservice.arminfischer.com"/>
  </hyperlinks>
  <printOptions gridLines="1"/>
  <pageMargins left="0.7479166666666667" right="0.7479166666666667" top="0.9840277777777777" bottom="0.9840277777777777" header="0.5118055555555555" footer="0"/>
  <pageSetup horizontalDpi="300" verticalDpi="300" orientation="landscape" paperSize="9"/>
  <headerFooter alignWithMargins="0">
    <oddFooter>&amp;C&amp;10Seite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L16" sqref="L16"/>
    </sheetView>
  </sheetViews>
  <sheetFormatPr defaultColWidth="9.77734375" defaultRowHeight="15"/>
  <cols>
    <col min="1" max="16384" width="9.6640625" style="1" customWidth="1"/>
  </cols>
  <sheetData>
    <row r="1" ht="12.75">
      <c r="A1" s="73" t="s">
        <v>132</v>
      </c>
    </row>
    <row r="2" ht="12.75">
      <c r="H2" s="47"/>
    </row>
    <row r="3" spans="1:8" ht="12.75">
      <c r="A3" s="17" t="s">
        <v>133</v>
      </c>
      <c r="H3" s="74">
        <f>BH_Umsatz!D24</f>
        <v>0</v>
      </c>
    </row>
    <row r="4" ht="12.75">
      <c r="H4" s="47"/>
    </row>
    <row r="5" ht="12.75">
      <c r="H5" s="47"/>
    </row>
    <row r="6" spans="1:8" ht="12.75">
      <c r="A6" s="17" t="s">
        <v>134</v>
      </c>
      <c r="C6" s="1">
        <v>30</v>
      </c>
      <c r="D6" s="1" t="s">
        <v>135</v>
      </c>
      <c r="E6" s="1" t="s">
        <v>136</v>
      </c>
      <c r="F6" s="47">
        <f>BH_Umsatz!C24</f>
        <v>0</v>
      </c>
      <c r="H6" s="74">
        <f>F6/100*C6</f>
        <v>0</v>
      </c>
    </row>
    <row r="7" ht="12.75">
      <c r="H7" s="47"/>
    </row>
    <row r="8" ht="12.75">
      <c r="H8" s="47"/>
    </row>
    <row r="9" spans="1:8" ht="12.75">
      <c r="A9" s="75" t="s">
        <v>137</v>
      </c>
      <c r="H9" s="76">
        <f>SUM(H3:H6)</f>
        <v>0</v>
      </c>
    </row>
    <row r="10" ht="12.75">
      <c r="H10" s="47"/>
    </row>
    <row r="11" ht="12.75">
      <c r="H11" s="47"/>
    </row>
    <row r="17" ht="12.75">
      <c r="A17" s="17" t="s">
        <v>32</v>
      </c>
    </row>
    <row r="18" ht="12.75">
      <c r="A18" s="17" t="s">
        <v>33</v>
      </c>
    </row>
    <row r="19" ht="12.75">
      <c r="A19" s="1" t="s">
        <v>34</v>
      </c>
    </row>
    <row r="20" ht="12.75">
      <c r="A20" s="1" t="s">
        <v>35</v>
      </c>
    </row>
    <row r="21" ht="12.75">
      <c r="A21" s="1" t="s">
        <v>48</v>
      </c>
    </row>
    <row r="22" ht="12.75">
      <c r="A22" s="17" t="s">
        <v>37</v>
      </c>
    </row>
    <row r="24" ht="12.75">
      <c r="A24" s="17" t="s">
        <v>38</v>
      </c>
    </row>
    <row r="25" ht="12.75">
      <c r="A25" s="1" t="s">
        <v>39</v>
      </c>
    </row>
    <row r="26" ht="12.75">
      <c r="A26" s="1" t="s">
        <v>40</v>
      </c>
    </row>
    <row r="27" ht="12.75">
      <c r="A27" s="1" t="s">
        <v>49</v>
      </c>
    </row>
    <row r="28" ht="12.75">
      <c r="A28" s="17" t="s">
        <v>42</v>
      </c>
    </row>
    <row r="30" spans="1:4" ht="12.75">
      <c r="A30"/>
      <c r="B30" s="18" t="s">
        <v>43</v>
      </c>
      <c r="C30" s="18"/>
      <c r="D30" s="18"/>
    </row>
    <row r="31" spans="1:4" ht="12.75">
      <c r="A31"/>
      <c r="B31" s="19" t="s">
        <v>44</v>
      </c>
      <c r="C31" s="19"/>
      <c r="D31" s="19"/>
    </row>
    <row r="32" spans="1:4" ht="12.75">
      <c r="A32"/>
      <c r="B32" s="20">
        <v>4917621008967</v>
      </c>
      <c r="C32" s="20"/>
      <c r="D32" s="20"/>
    </row>
    <row r="34" ht="12.75">
      <c r="B34" s="21" t="s">
        <v>45</v>
      </c>
    </row>
  </sheetData>
  <sheetProtection selectLockedCells="1" selectUnlockedCells="1"/>
  <mergeCells count="3">
    <mergeCell ref="B30:D30"/>
    <mergeCell ref="B31:D31"/>
    <mergeCell ref="B32:D32"/>
  </mergeCells>
  <hyperlinks>
    <hyperlink ref="B31" r:id="rId1" display="office@arminfischer.com"/>
    <hyperlink ref="B34" r:id="rId2" display="http://Computerservice.arminfischer.com"/>
  </hyperlinks>
  <printOptions gridLines="1"/>
  <pageMargins left="0.7479166666666667" right="0.7479166666666667" top="0.9840277777777777" bottom="0.9840277777777777" header="0.5118055555555555" footer="0"/>
  <pageSetup horizontalDpi="300" verticalDpi="300" orientation="landscape" paperSize="9"/>
  <headerFooter alignWithMargins="0">
    <oddFooter>&amp;C&amp;10Seite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510"/>
  <sheetViews>
    <sheetView workbookViewId="0" topLeftCell="A1">
      <pane ySplit="9" topLeftCell="A10" activePane="bottomLeft" state="frozen"/>
      <selection pane="topLeft" activeCell="A1" sqref="A1"/>
      <selection pane="bottomLeft" activeCell="G21" sqref="G21"/>
    </sheetView>
  </sheetViews>
  <sheetFormatPr defaultColWidth="9.77734375" defaultRowHeight="15"/>
  <cols>
    <col min="1" max="1" width="8.5546875" style="45" customWidth="1"/>
    <col min="2" max="2" width="8.5546875" style="1" customWidth="1"/>
    <col min="3" max="3" width="47.21484375" style="1" customWidth="1"/>
    <col min="4" max="4" width="34.10546875" style="1" customWidth="1"/>
    <col min="5" max="5" width="4.21484375" style="1" customWidth="1"/>
    <col min="6" max="6" width="8.5546875" style="1" customWidth="1"/>
    <col min="7" max="7" width="25.5546875" style="1" customWidth="1"/>
    <col min="8" max="10" width="16.99609375" style="1" customWidth="1"/>
    <col min="11" max="11" width="33.4453125" style="1" customWidth="1"/>
    <col min="12" max="13" width="25.5546875" style="1" customWidth="1"/>
    <col min="14" max="14" width="34.10546875" style="1" customWidth="1"/>
    <col min="15" max="17" width="23.5546875" style="1" customWidth="1"/>
    <col min="18" max="19" width="9.6640625" style="1" customWidth="1"/>
    <col min="20" max="20" width="23.6640625" style="1" customWidth="1"/>
    <col min="21" max="21" width="24.4453125" style="1" customWidth="1"/>
    <col min="22" max="22" width="22.5546875" style="1" customWidth="1"/>
    <col min="23" max="23" width="34.5546875" style="1" customWidth="1"/>
    <col min="24" max="24" width="63.99609375" style="1" customWidth="1"/>
    <col min="25" max="25" width="41.6640625" style="1" customWidth="1"/>
    <col min="26" max="26" width="21.21484375" style="1" customWidth="1"/>
    <col min="27" max="28" width="13.3359375" style="1" customWidth="1"/>
    <col min="29" max="29" width="21.5546875" style="1" customWidth="1"/>
    <col min="30" max="30" width="18.99609375" style="1" customWidth="1"/>
    <col min="31" max="31" width="19.99609375" style="1" customWidth="1"/>
    <col min="32" max="32" width="20.99609375" style="1" customWidth="1"/>
    <col min="33" max="33" width="15.10546875" style="1" customWidth="1"/>
    <col min="34" max="16384" width="9.6640625" style="1" customWidth="1"/>
  </cols>
  <sheetData>
    <row r="1" s="30" customFormat="1" ht="12.75">
      <c r="C1" s="31" t="s">
        <v>87</v>
      </c>
    </row>
    <row r="2" spans="3:6" s="30" customFormat="1" ht="12.75">
      <c r="C2" s="32" t="s">
        <v>88</v>
      </c>
      <c r="F2" s="30">
        <v>2023</v>
      </c>
    </row>
    <row r="3" s="30" customFormat="1" ht="12.75"/>
    <row r="4" s="30" customFormat="1" ht="12.75"/>
    <row r="5" s="30" customFormat="1" ht="12.75"/>
    <row r="6" s="30" customFormat="1" ht="12.75"/>
    <row r="7" s="30" customFormat="1" ht="12.75">
      <c r="C7" s="33" t="s">
        <v>138</v>
      </c>
    </row>
    <row r="8" s="30" customFormat="1" ht="12.75"/>
    <row r="9" spans="1:33" ht="12.75">
      <c r="A9" s="45" t="s">
        <v>139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144</v>
      </c>
      <c r="G9" s="1" t="s">
        <v>145</v>
      </c>
      <c r="H9" s="1" t="s">
        <v>146</v>
      </c>
      <c r="I9" s="1" t="s">
        <v>147</v>
      </c>
      <c r="J9" s="1" t="s">
        <v>148</v>
      </c>
      <c r="K9" s="1" t="s">
        <v>149</v>
      </c>
      <c r="L9" s="1" t="s">
        <v>149</v>
      </c>
      <c r="M9" s="1" t="s">
        <v>149</v>
      </c>
      <c r="N9" s="1" t="s">
        <v>150</v>
      </c>
      <c r="O9" s="1" t="s">
        <v>151</v>
      </c>
      <c r="P9" s="1" t="s">
        <v>141</v>
      </c>
      <c r="Q9" s="1" t="s">
        <v>152</v>
      </c>
      <c r="R9" s="1" t="s">
        <v>153</v>
      </c>
      <c r="S9" s="1" t="s">
        <v>154</v>
      </c>
      <c r="T9" s="1" t="s">
        <v>155</v>
      </c>
      <c r="U9" s="1" t="s">
        <v>156</v>
      </c>
      <c r="V9" s="1" t="s">
        <v>157</v>
      </c>
      <c r="W9" s="1" t="s">
        <v>158</v>
      </c>
      <c r="X9" s="1" t="s">
        <v>159</v>
      </c>
      <c r="Y9" s="1" t="s">
        <v>160</v>
      </c>
      <c r="Z9" s="1" t="s">
        <v>161</v>
      </c>
      <c r="AA9" s="1" t="s">
        <v>162</v>
      </c>
      <c r="AB9" s="1" t="s">
        <v>163</v>
      </c>
      <c r="AC9" s="1" t="s">
        <v>164</v>
      </c>
      <c r="AD9" s="1" t="s">
        <v>165</v>
      </c>
      <c r="AE9" s="1" t="s">
        <v>166</v>
      </c>
      <c r="AF9" s="1" t="s">
        <v>167</v>
      </c>
      <c r="AG9" s="1" t="s">
        <v>168</v>
      </c>
    </row>
    <row r="11" spans="2:16" ht="12.75">
      <c r="B11" s="43"/>
      <c r="H11" s="77"/>
      <c r="I11" s="77"/>
      <c r="K11" s="60"/>
      <c r="L11" s="60"/>
      <c r="M11" s="60"/>
      <c r="N11" s="60"/>
      <c r="O11" s="60"/>
      <c r="P11" s="60"/>
    </row>
    <row r="12" spans="2:11" ht="12.75">
      <c r="B12" s="43"/>
      <c r="H12" s="77"/>
      <c r="I12" s="77"/>
      <c r="K12" s="78"/>
    </row>
    <row r="13" spans="2:9" ht="12.75">
      <c r="B13" s="43"/>
      <c r="H13" s="77"/>
      <c r="I13" s="77"/>
    </row>
    <row r="14" spans="2:11" ht="12.75">
      <c r="B14" s="43"/>
      <c r="H14" s="77"/>
      <c r="I14" s="77"/>
      <c r="K14" s="60"/>
    </row>
    <row r="15" spans="2:11" ht="12.75">
      <c r="B15" s="43"/>
      <c r="H15" s="77"/>
      <c r="I15" s="77"/>
      <c r="K15" s="60"/>
    </row>
    <row r="16" spans="2:15" ht="12.75">
      <c r="B16" s="43"/>
      <c r="H16" s="79"/>
      <c r="I16" s="77"/>
      <c r="K16" s="60"/>
      <c r="N16" s="60"/>
      <c r="O16" s="60"/>
    </row>
    <row r="17" spans="2:9" ht="12.75">
      <c r="B17" s="43"/>
      <c r="H17" s="77"/>
      <c r="I17" s="77"/>
    </row>
    <row r="18" spans="2:9" ht="12.75">
      <c r="B18" s="43"/>
      <c r="H18" s="77"/>
      <c r="I18" s="77"/>
    </row>
    <row r="19" spans="2:9" ht="12.75">
      <c r="B19" s="43"/>
      <c r="H19" s="77"/>
      <c r="I19" s="77"/>
    </row>
    <row r="20" spans="2:9" ht="12.75">
      <c r="B20" s="43"/>
      <c r="H20" s="77"/>
      <c r="I20" s="77"/>
    </row>
    <row r="21" spans="2:11" ht="12.75">
      <c r="B21" s="43"/>
      <c r="H21" s="77"/>
      <c r="I21" s="77"/>
      <c r="K21" s="60"/>
    </row>
    <row r="22" spans="2:11" ht="12.75">
      <c r="B22" s="43"/>
      <c r="H22" s="77"/>
      <c r="I22" s="77"/>
      <c r="K22" s="60"/>
    </row>
    <row r="23" spans="2:11" ht="12.75">
      <c r="B23" s="43"/>
      <c r="H23" s="77"/>
      <c r="I23" s="77"/>
      <c r="K23" s="60"/>
    </row>
    <row r="24" spans="2:9" ht="12.75">
      <c r="B24" s="43"/>
      <c r="H24" s="77"/>
      <c r="I24" s="77"/>
    </row>
    <row r="25" spans="2:11" ht="12.75">
      <c r="B25" s="43"/>
      <c r="H25" s="77"/>
      <c r="I25" s="77"/>
      <c r="K25" s="60"/>
    </row>
    <row r="26" spans="2:9" ht="12.75">
      <c r="B26" s="43"/>
      <c r="H26" s="77"/>
      <c r="I26" s="77"/>
    </row>
    <row r="27" spans="2:11" ht="12.75">
      <c r="B27" s="43"/>
      <c r="H27" s="77"/>
      <c r="I27" s="77"/>
      <c r="K27" s="60"/>
    </row>
    <row r="28" spans="2:9" ht="12.75">
      <c r="B28" s="43"/>
      <c r="H28" s="77"/>
      <c r="I28" s="77"/>
    </row>
    <row r="29" spans="2:9" s="80" customFormat="1" ht="12.75">
      <c r="B29" s="81"/>
      <c r="H29" s="82"/>
      <c r="I29" s="82"/>
    </row>
    <row r="30" spans="2:9" s="80" customFormat="1" ht="12.75">
      <c r="B30" s="83"/>
      <c r="H30" s="82"/>
      <c r="I30" s="82"/>
    </row>
    <row r="31" spans="2:9" ht="12.75">
      <c r="B31" s="43"/>
      <c r="H31" s="77"/>
      <c r="I31" s="77"/>
    </row>
    <row r="32" spans="2:9" ht="12.75">
      <c r="B32" s="43"/>
      <c r="D32" s="84"/>
      <c r="G32" s="84"/>
      <c r="H32" s="77"/>
      <c r="I32" s="85"/>
    </row>
    <row r="33" spans="2:9" ht="12.75">
      <c r="B33" s="43"/>
      <c r="D33" s="84"/>
      <c r="H33" s="77"/>
      <c r="I33" s="85"/>
    </row>
    <row r="34" spans="2:9" ht="12.75">
      <c r="B34" s="43"/>
      <c r="D34" s="84"/>
      <c r="H34" s="77"/>
      <c r="I34" s="85"/>
    </row>
    <row r="35" spans="2:11" ht="12.75">
      <c r="B35" s="43"/>
      <c r="D35" s="84"/>
      <c r="F35" s="45"/>
      <c r="H35" s="77"/>
      <c r="I35" s="85"/>
      <c r="K35" s="86"/>
    </row>
    <row r="36" spans="2:9" ht="12.75">
      <c r="B36" s="43"/>
      <c r="H36" s="77"/>
      <c r="I36" s="77"/>
    </row>
    <row r="37" spans="2:11" ht="12.75">
      <c r="B37" s="43"/>
      <c r="H37" s="77"/>
      <c r="I37" s="77"/>
      <c r="K37" s="60"/>
    </row>
    <row r="38" spans="2:9" ht="12.75">
      <c r="B38" s="43"/>
      <c r="D38" s="84"/>
      <c r="H38" s="85"/>
      <c r="I38" s="85"/>
    </row>
    <row r="39" spans="2:11" ht="12.75">
      <c r="B39" s="43"/>
      <c r="D39" s="84"/>
      <c r="H39" s="85"/>
      <c r="I39" s="77"/>
      <c r="K39" s="86"/>
    </row>
    <row r="40" spans="2:9" ht="12.75">
      <c r="B40" s="43"/>
      <c r="H40" s="77"/>
      <c r="I40" s="77"/>
    </row>
    <row r="41" spans="2:9" ht="12.75">
      <c r="B41" s="43"/>
      <c r="H41" s="77"/>
      <c r="I41" s="77"/>
    </row>
    <row r="42" spans="2:11" ht="12.75">
      <c r="B42" s="43"/>
      <c r="D42" s="84"/>
      <c r="G42" s="84"/>
      <c r="H42" s="85"/>
      <c r="I42" s="77"/>
      <c r="K42" s="86"/>
    </row>
    <row r="43" spans="2:11" ht="12.75">
      <c r="B43" s="43"/>
      <c r="D43" s="84"/>
      <c r="H43" s="85"/>
      <c r="I43" s="85"/>
      <c r="K43" s="86"/>
    </row>
    <row r="44" spans="2:9" ht="12.75">
      <c r="B44" s="43"/>
      <c r="D44" s="84"/>
      <c r="H44" s="85"/>
      <c r="I44" s="85"/>
    </row>
    <row r="45" spans="2:9" s="80" customFormat="1" ht="12.75">
      <c r="B45" s="83"/>
      <c r="H45" s="82"/>
      <c r="I45" s="82"/>
    </row>
    <row r="46" spans="2:9" ht="12.75">
      <c r="B46" s="43"/>
      <c r="D46" s="84"/>
      <c r="H46" s="85"/>
      <c r="I46" s="77"/>
    </row>
    <row r="47" spans="2:9" ht="12.75">
      <c r="B47" s="43"/>
      <c r="D47" s="84"/>
      <c r="H47" s="77"/>
      <c r="I47" s="77"/>
    </row>
    <row r="48" spans="2:11" ht="12.75">
      <c r="B48" s="43"/>
      <c r="D48" s="84"/>
      <c r="H48" s="85"/>
      <c r="I48" s="77"/>
      <c r="K48" s="60"/>
    </row>
    <row r="49" spans="2:11" ht="12.75">
      <c r="B49" s="43"/>
      <c r="D49" s="84"/>
      <c r="H49" s="85"/>
      <c r="I49" s="77"/>
      <c r="K49" s="86"/>
    </row>
    <row r="50" spans="2:9" ht="12.75">
      <c r="B50" s="43"/>
      <c r="D50" s="84"/>
      <c r="H50" s="85"/>
      <c r="I50" s="85"/>
    </row>
    <row r="51" spans="2:11" ht="12.75">
      <c r="B51" s="43"/>
      <c r="D51" s="84"/>
      <c r="H51" s="85"/>
      <c r="I51" s="77"/>
      <c r="K51" s="86"/>
    </row>
    <row r="52" spans="2:11" ht="12.75">
      <c r="B52" s="43"/>
      <c r="D52" s="84"/>
      <c r="F52" s="84"/>
      <c r="H52" s="85"/>
      <c r="I52" s="85"/>
      <c r="K52" s="86"/>
    </row>
    <row r="53" spans="2:11" ht="12.75">
      <c r="B53" s="43"/>
      <c r="D53" s="84"/>
      <c r="H53" s="77"/>
      <c r="I53" s="85"/>
      <c r="K53" s="86"/>
    </row>
    <row r="54" spans="2:11" ht="12.75">
      <c r="B54" s="43"/>
      <c r="H54" s="77"/>
      <c r="I54" s="77"/>
      <c r="K54" s="60"/>
    </row>
    <row r="55" spans="2:9" ht="12.75">
      <c r="B55" s="43"/>
      <c r="H55" s="77"/>
      <c r="I55" s="77"/>
    </row>
    <row r="56" spans="2:12" ht="12.75">
      <c r="B56" s="43"/>
      <c r="H56" s="77"/>
      <c r="I56" s="77"/>
      <c r="K56" s="60"/>
      <c r="L56" s="60"/>
    </row>
    <row r="57" spans="2:11" ht="12.75">
      <c r="B57" s="43"/>
      <c r="D57" s="84"/>
      <c r="H57" s="85"/>
      <c r="I57" s="77"/>
      <c r="K57" s="60"/>
    </row>
    <row r="58" spans="2:9" ht="12.75">
      <c r="B58" s="43"/>
      <c r="H58" s="77"/>
      <c r="I58" s="77"/>
    </row>
    <row r="59" spans="2:9" ht="12.75">
      <c r="B59" s="43"/>
      <c r="H59" s="77"/>
      <c r="I59" s="77"/>
    </row>
    <row r="60" spans="2:11" ht="12.75">
      <c r="B60" s="43"/>
      <c r="H60" s="77"/>
      <c r="I60" s="77"/>
      <c r="K60" s="60"/>
    </row>
    <row r="61" spans="2:9" ht="12.75">
      <c r="B61" s="43"/>
      <c r="H61" s="77"/>
      <c r="I61" s="77"/>
    </row>
    <row r="62" spans="2:9" ht="12.75">
      <c r="B62" s="43"/>
      <c r="H62" s="77"/>
      <c r="I62" s="77"/>
    </row>
    <row r="63" spans="2:9" ht="12.75">
      <c r="B63" s="43"/>
      <c r="H63" s="77"/>
      <c r="I63" s="77"/>
    </row>
    <row r="64" spans="2:11" ht="12.75">
      <c r="B64" s="43"/>
      <c r="H64" s="77"/>
      <c r="I64" s="77"/>
      <c r="K64" s="60"/>
    </row>
    <row r="65" spans="2:9" ht="12.75">
      <c r="B65" s="43"/>
      <c r="H65" s="77"/>
      <c r="I65" s="77"/>
    </row>
    <row r="66" spans="2:9" ht="12.75">
      <c r="B66" s="43"/>
      <c r="H66" s="77"/>
      <c r="I66" s="77"/>
    </row>
    <row r="67" spans="2:9" ht="12.75">
      <c r="B67" s="43"/>
      <c r="H67" s="77"/>
      <c r="I67" s="77"/>
    </row>
    <row r="68" spans="2:9" ht="12.75">
      <c r="B68" s="43"/>
      <c r="H68" s="77"/>
      <c r="I68" s="77"/>
    </row>
    <row r="69" spans="2:9" ht="12.75">
      <c r="B69" s="43"/>
      <c r="H69" s="77"/>
      <c r="I69" s="77"/>
    </row>
    <row r="70" spans="2:9" ht="12.75">
      <c r="B70" s="43"/>
      <c r="H70" s="77"/>
      <c r="I70" s="77"/>
    </row>
    <row r="71" spans="2:11" ht="12.75">
      <c r="B71" s="43"/>
      <c r="H71" s="77"/>
      <c r="I71" s="77"/>
      <c r="K71" s="60"/>
    </row>
    <row r="72" spans="2:12" ht="12.75">
      <c r="B72" s="43"/>
      <c r="H72" s="77"/>
      <c r="I72" s="77"/>
      <c r="K72" s="60"/>
      <c r="L72" s="60"/>
    </row>
    <row r="73" spans="2:9" ht="12.75">
      <c r="B73" s="43"/>
      <c r="H73" s="77"/>
      <c r="I73" s="77"/>
    </row>
    <row r="74" spans="2:9" ht="12.75">
      <c r="B74" s="43"/>
      <c r="H74" s="77"/>
      <c r="I74" s="77"/>
    </row>
    <row r="75" spans="2:13" ht="12.75">
      <c r="B75" s="43"/>
      <c r="H75" s="77"/>
      <c r="I75" s="77"/>
      <c r="K75" s="60"/>
      <c r="L75" s="60"/>
      <c r="M75" s="60"/>
    </row>
    <row r="76" spans="2:9" ht="12.75">
      <c r="B76" s="43"/>
      <c r="H76" s="77"/>
      <c r="I76" s="77"/>
    </row>
    <row r="77" spans="2:9" ht="12.75">
      <c r="B77" s="43"/>
      <c r="H77" s="77"/>
      <c r="I77" s="77"/>
    </row>
    <row r="78" spans="2:11" ht="12.75">
      <c r="B78" s="43"/>
      <c r="H78" s="77"/>
      <c r="I78" s="77"/>
      <c r="K78" s="87"/>
    </row>
    <row r="79" spans="2:9" ht="12.75">
      <c r="B79" s="43"/>
      <c r="H79" s="77"/>
      <c r="I79" s="77"/>
    </row>
    <row r="80" spans="2:9" ht="12.75">
      <c r="B80" s="43"/>
      <c r="H80" s="77"/>
      <c r="I80" s="77"/>
    </row>
    <row r="81" spans="2:9" ht="12.75">
      <c r="B81" s="43"/>
      <c r="H81" s="77"/>
      <c r="I81" s="77"/>
    </row>
    <row r="82" spans="2:9" ht="12.75">
      <c r="B82" s="43"/>
      <c r="H82" s="77"/>
      <c r="I82" s="77"/>
    </row>
    <row r="83" spans="2:11" ht="12.75">
      <c r="B83" s="43"/>
      <c r="H83" s="77"/>
      <c r="I83" s="77"/>
      <c r="K83" s="60"/>
    </row>
    <row r="84" spans="2:11" ht="12.75">
      <c r="B84" s="43"/>
      <c r="H84" s="77"/>
      <c r="I84" s="77"/>
      <c r="K84" s="60"/>
    </row>
    <row r="85" spans="2:9" ht="12.75">
      <c r="B85" s="43"/>
      <c r="H85" s="77"/>
      <c r="I85" s="77"/>
    </row>
    <row r="86" spans="2:11" ht="12.75">
      <c r="B86" s="43"/>
      <c r="H86" s="77"/>
      <c r="I86" s="77"/>
      <c r="K86" s="87"/>
    </row>
    <row r="87" spans="2:9" ht="12.75">
      <c r="B87" s="43"/>
      <c r="H87" s="77"/>
      <c r="I87" s="77"/>
    </row>
    <row r="88" spans="2:11" ht="12.75">
      <c r="B88" s="43"/>
      <c r="H88" s="77"/>
      <c r="I88" s="77"/>
      <c r="K88" s="60"/>
    </row>
    <row r="89" spans="2:16" ht="12.75">
      <c r="B89" s="43"/>
      <c r="H89" s="77"/>
      <c r="I89" s="77"/>
      <c r="K89" s="60"/>
      <c r="N89"/>
      <c r="O89"/>
      <c r="P89"/>
    </row>
    <row r="90" spans="2:9" ht="12.75">
      <c r="B90" s="43"/>
      <c r="H90" s="77"/>
      <c r="I90" s="77"/>
    </row>
    <row r="91" spans="2:9" s="80" customFormat="1" ht="12.75">
      <c r="B91" s="83"/>
      <c r="H91" s="82"/>
      <c r="I91" s="82"/>
    </row>
    <row r="92" spans="2:11" ht="12.75">
      <c r="B92" s="43"/>
      <c r="H92" s="77"/>
      <c r="I92" s="77"/>
      <c r="K92" s="60"/>
    </row>
    <row r="93" spans="2:9" s="80" customFormat="1" ht="12.75">
      <c r="B93" s="83"/>
      <c r="H93" s="82"/>
      <c r="I93" s="82"/>
    </row>
    <row r="94" spans="2:11" ht="12.75">
      <c r="B94" s="43"/>
      <c r="H94" s="77"/>
      <c r="I94" s="77"/>
      <c r="K94" s="60"/>
    </row>
    <row r="95" spans="2:9" ht="12.75">
      <c r="B95" s="43"/>
      <c r="H95" s="77"/>
      <c r="I95" s="77"/>
    </row>
    <row r="96" spans="2:12" ht="12.75">
      <c r="B96" s="43"/>
      <c r="H96" s="77"/>
      <c r="I96" s="77"/>
      <c r="K96" s="60"/>
      <c r="L96" s="60"/>
    </row>
    <row r="97" spans="2:9" ht="12.75">
      <c r="B97" s="43"/>
      <c r="H97" s="77"/>
      <c r="I97" s="77"/>
    </row>
    <row r="98" spans="2:11" ht="12.75">
      <c r="B98" s="43"/>
      <c r="G98" s="45"/>
      <c r="H98" s="77"/>
      <c r="I98" s="77"/>
      <c r="K98" s="60"/>
    </row>
    <row r="99" spans="2:11" ht="12.75">
      <c r="B99" s="43"/>
      <c r="H99" s="77"/>
      <c r="I99" s="77"/>
      <c r="K99" s="87"/>
    </row>
    <row r="100" spans="2:12" ht="12.75">
      <c r="B100" s="43"/>
      <c r="H100" s="77"/>
      <c r="I100" s="77"/>
      <c r="K100" s="60"/>
      <c r="L100" s="60"/>
    </row>
    <row r="101" spans="2:11" ht="12.75">
      <c r="B101" s="43"/>
      <c r="H101" s="77"/>
      <c r="I101" s="77"/>
      <c r="K101" s="60"/>
    </row>
    <row r="102" spans="2:12" ht="12.75">
      <c r="B102" s="43"/>
      <c r="H102" s="88"/>
      <c r="I102" s="77"/>
      <c r="K102" s="87"/>
      <c r="L102" s="60"/>
    </row>
    <row r="103" spans="2:11" ht="12.75">
      <c r="B103" s="43"/>
      <c r="H103" s="77"/>
      <c r="I103" s="77"/>
      <c r="K103" s="60"/>
    </row>
    <row r="104" spans="2:9" s="80" customFormat="1" ht="12.75">
      <c r="B104" s="83"/>
      <c r="H104" s="82"/>
      <c r="I104" s="82"/>
    </row>
    <row r="105" spans="2:11" ht="12.75">
      <c r="B105" s="43"/>
      <c r="H105" s="77"/>
      <c r="I105" s="77"/>
      <c r="K105" s="60"/>
    </row>
    <row r="106" spans="2:11" ht="12.75">
      <c r="B106" s="43"/>
      <c r="H106" s="77"/>
      <c r="I106" s="77"/>
      <c r="K106" s="60"/>
    </row>
    <row r="107" spans="2:13" ht="12.75">
      <c r="B107" s="43"/>
      <c r="H107" s="77"/>
      <c r="I107" s="77"/>
      <c r="K107" s="60"/>
      <c r="L107" s="60"/>
      <c r="M107" s="60"/>
    </row>
    <row r="108" spans="2:12" ht="12.75">
      <c r="B108" s="43"/>
      <c r="H108" s="77"/>
      <c r="I108" s="77"/>
      <c r="K108" s="60"/>
      <c r="L108" s="60"/>
    </row>
    <row r="109" spans="2:12" ht="12.75">
      <c r="B109" s="43"/>
      <c r="H109" s="77"/>
      <c r="I109" s="77"/>
      <c r="J109" s="77"/>
      <c r="K109" s="60"/>
      <c r="L109" s="60"/>
    </row>
    <row r="110" spans="2:12" ht="12.75">
      <c r="B110" s="43"/>
      <c r="H110" s="77"/>
      <c r="I110" s="77"/>
      <c r="K110" s="60"/>
      <c r="L110" s="60"/>
    </row>
    <row r="111" spans="2:23" s="80" customFormat="1" ht="12.75">
      <c r="B111" s="83"/>
      <c r="H111" s="82"/>
      <c r="I111" s="82"/>
      <c r="K111" s="89"/>
      <c r="W111" s="89"/>
    </row>
    <row r="112" spans="2:11" ht="12.75">
      <c r="B112" s="43"/>
      <c r="H112" s="77"/>
      <c r="I112" s="77"/>
      <c r="K112" s="60"/>
    </row>
    <row r="113" spans="2:12" ht="12.75">
      <c r="B113" s="43"/>
      <c r="H113" s="77"/>
      <c r="I113" s="77"/>
      <c r="K113" s="60"/>
      <c r="L113" s="60"/>
    </row>
    <row r="114" spans="2:9" ht="12.75">
      <c r="B114" s="43"/>
      <c r="H114" s="77"/>
      <c r="I114" s="77"/>
    </row>
    <row r="115" spans="2:12" ht="12.75">
      <c r="B115" s="43"/>
      <c r="H115" s="77"/>
      <c r="I115" s="77"/>
      <c r="K115" s="60"/>
      <c r="L115" s="60"/>
    </row>
    <row r="116" spans="2:11" ht="12.75">
      <c r="B116" s="43"/>
      <c r="H116" s="77"/>
      <c r="I116" s="77"/>
      <c r="K116" s="60"/>
    </row>
    <row r="117" spans="2:12" ht="12.75">
      <c r="B117" s="43"/>
      <c r="H117" s="77"/>
      <c r="I117" s="77"/>
      <c r="K117" s="60"/>
      <c r="L117" s="60"/>
    </row>
    <row r="118" spans="2:11" ht="12.75">
      <c r="B118" s="43"/>
      <c r="H118" s="77"/>
      <c r="I118" s="77"/>
      <c r="K118" s="60"/>
    </row>
    <row r="119" spans="2:11" ht="12.75">
      <c r="B119" s="43"/>
      <c r="H119" s="77"/>
      <c r="I119" s="77"/>
      <c r="K119" s="60"/>
    </row>
    <row r="120" spans="2:23" ht="12.75">
      <c r="B120" s="43"/>
      <c r="H120" s="77"/>
      <c r="I120" s="77"/>
      <c r="W120" s="60"/>
    </row>
    <row r="121" spans="2:11" ht="12.75">
      <c r="B121" s="43"/>
      <c r="H121" s="77"/>
      <c r="I121" s="77"/>
      <c r="K121" s="60"/>
    </row>
    <row r="122" spans="2:9" ht="12.75">
      <c r="B122" s="43"/>
      <c r="H122" s="77"/>
      <c r="I122" s="77"/>
    </row>
    <row r="123" spans="2:11" ht="12.75">
      <c r="B123" s="43"/>
      <c r="H123" s="77"/>
      <c r="I123" s="77"/>
      <c r="K123" s="60"/>
    </row>
    <row r="124" spans="2:11" ht="12.75">
      <c r="B124" s="43"/>
      <c r="H124" s="77"/>
      <c r="I124" s="77"/>
      <c r="K124" s="60"/>
    </row>
    <row r="125" spans="2:11" ht="12.75">
      <c r="B125" s="43"/>
      <c r="H125" s="77"/>
      <c r="I125" s="77"/>
      <c r="K125" s="60"/>
    </row>
    <row r="126" spans="2:11" ht="12.75">
      <c r="B126" s="43"/>
      <c r="H126" s="77"/>
      <c r="I126" s="77"/>
      <c r="K126" s="60"/>
    </row>
    <row r="127" spans="2:11" s="64" customFormat="1" ht="12.75">
      <c r="B127" s="90"/>
      <c r="H127" s="91"/>
      <c r="I127" s="91"/>
      <c r="K127" s="92"/>
    </row>
    <row r="128" spans="2:11" ht="12.75">
      <c r="B128" s="43"/>
      <c r="H128" s="77"/>
      <c r="I128" s="77"/>
      <c r="K128" s="60"/>
    </row>
    <row r="129" spans="2:11" ht="12.75">
      <c r="B129" s="93"/>
      <c r="H129" s="77"/>
      <c r="I129" s="77"/>
      <c r="K129" s="60"/>
    </row>
    <row r="130" spans="2:12" ht="12.75">
      <c r="B130" s="43"/>
      <c r="H130" s="77"/>
      <c r="I130" s="77"/>
      <c r="K130" s="60"/>
      <c r="L130" s="60"/>
    </row>
    <row r="131" spans="2:15" ht="12.75">
      <c r="B131" s="43"/>
      <c r="H131" s="77"/>
      <c r="I131" s="77"/>
      <c r="K131" s="60"/>
      <c r="L131" s="60"/>
      <c r="N131" s="60"/>
      <c r="O131" s="60"/>
    </row>
    <row r="132" spans="2:11" ht="12.75">
      <c r="B132" s="43"/>
      <c r="H132" s="77"/>
      <c r="I132" s="77"/>
      <c r="K132" s="87"/>
    </row>
    <row r="133" spans="2:11" ht="12.75">
      <c r="B133" s="43"/>
      <c r="H133" s="77"/>
      <c r="I133" s="77"/>
      <c r="K133" s="60"/>
    </row>
    <row r="134" spans="2:15" ht="12.75">
      <c r="B134" s="43"/>
      <c r="H134" s="77"/>
      <c r="I134" s="77"/>
      <c r="K134" s="60"/>
      <c r="N134" s="60"/>
      <c r="O134" s="60"/>
    </row>
    <row r="135" spans="2:11" ht="12.75">
      <c r="B135" s="43"/>
      <c r="H135" s="77"/>
      <c r="I135" s="77"/>
      <c r="K135" s="60"/>
    </row>
    <row r="136" spans="2:11" ht="12.75">
      <c r="B136" s="43"/>
      <c r="H136" s="94"/>
      <c r="I136" s="77"/>
      <c r="K136" s="60"/>
    </row>
    <row r="137" spans="2:15" ht="12.75">
      <c r="B137" s="43"/>
      <c r="H137" s="77"/>
      <c r="I137" s="95"/>
      <c r="K137" s="60"/>
      <c r="N137" s="60"/>
      <c r="O137" s="60"/>
    </row>
    <row r="138" spans="2:9" ht="12.75">
      <c r="B138" s="43"/>
      <c r="H138" s="77"/>
      <c r="I138" s="77"/>
    </row>
    <row r="139" spans="2:15" ht="12.75">
      <c r="B139" s="43"/>
      <c r="H139" s="77"/>
      <c r="I139" s="77"/>
      <c r="K139" s="60"/>
      <c r="N139" s="60"/>
      <c r="O139" s="60"/>
    </row>
    <row r="140" spans="2:11" ht="12.75">
      <c r="B140" s="43"/>
      <c r="H140" s="77"/>
      <c r="I140" s="77"/>
      <c r="K140" s="60"/>
    </row>
    <row r="141" spans="2:9" ht="12.75">
      <c r="B141" s="43"/>
      <c r="H141" s="77"/>
      <c r="I141" s="77"/>
    </row>
    <row r="142" spans="2:12" ht="12.75">
      <c r="B142" s="43"/>
      <c r="H142" s="77"/>
      <c r="I142" s="77"/>
      <c r="K142" s="60"/>
      <c r="L142" s="60"/>
    </row>
    <row r="143" spans="2:11" ht="12.75">
      <c r="B143" s="43"/>
      <c r="H143" s="77"/>
      <c r="I143" s="77"/>
      <c r="K143" s="60"/>
    </row>
    <row r="144" spans="2:11" ht="12.75">
      <c r="B144" s="43"/>
      <c r="H144" s="77"/>
      <c r="I144" s="77"/>
      <c r="K144" s="60"/>
    </row>
    <row r="145" spans="2:11" ht="12.75">
      <c r="B145" s="43"/>
      <c r="H145" s="77"/>
      <c r="I145" s="77"/>
      <c r="K145" s="60"/>
    </row>
    <row r="146" spans="2:11" ht="12.75">
      <c r="B146" s="43"/>
      <c r="H146" s="77"/>
      <c r="I146" s="77"/>
      <c r="K146" s="60"/>
    </row>
    <row r="147" spans="2:11" ht="12.75">
      <c r="B147" s="43"/>
      <c r="H147" s="77"/>
      <c r="I147" s="77"/>
      <c r="K147" s="60"/>
    </row>
    <row r="148" spans="2:9" ht="12.75">
      <c r="B148" s="43"/>
      <c r="H148" s="77"/>
      <c r="I148" s="77"/>
    </row>
    <row r="149" spans="2:9" ht="12.75">
      <c r="B149" s="43"/>
      <c r="H149" s="77"/>
      <c r="I149" s="77"/>
    </row>
    <row r="150" spans="2:11" ht="12.75">
      <c r="B150" s="43"/>
      <c r="H150" s="77"/>
      <c r="I150" s="77"/>
      <c r="K150" s="60"/>
    </row>
    <row r="151" spans="2:11" ht="12.75">
      <c r="B151" s="43"/>
      <c r="D151" s="78"/>
      <c r="H151" s="77"/>
      <c r="I151" s="77"/>
      <c r="K151" s="60"/>
    </row>
    <row r="152" spans="2:9" ht="12.75">
      <c r="B152" s="43"/>
      <c r="H152" s="95"/>
      <c r="I152" s="77"/>
    </row>
    <row r="153" spans="2:14" ht="12.75">
      <c r="B153" s="43"/>
      <c r="H153" s="77"/>
      <c r="I153" s="77"/>
      <c r="K153" s="60"/>
      <c r="N153" s="60"/>
    </row>
    <row r="154" spans="2:14" ht="12.75">
      <c r="B154" s="43"/>
      <c r="H154" s="77"/>
      <c r="I154" s="77"/>
      <c r="K154" s="60"/>
      <c r="N154" s="60"/>
    </row>
    <row r="155" spans="2:14" ht="12.75">
      <c r="B155" s="43"/>
      <c r="H155" s="77"/>
      <c r="I155" s="77"/>
      <c r="K155" s="60"/>
      <c r="N155" s="60"/>
    </row>
    <row r="156" spans="2:11" ht="12.75">
      <c r="B156" s="43"/>
      <c r="H156" s="77"/>
      <c r="I156" s="77"/>
      <c r="K156" s="60"/>
    </row>
    <row r="157" spans="2:11" ht="12.75">
      <c r="B157" s="43"/>
      <c r="H157" s="77"/>
      <c r="I157" s="77"/>
      <c r="K157" s="60"/>
    </row>
    <row r="158" spans="2:11" ht="12.75">
      <c r="B158" s="43"/>
      <c r="H158" s="77"/>
      <c r="I158" s="77"/>
      <c r="K158" s="60"/>
    </row>
    <row r="159" spans="2:14" ht="12.75">
      <c r="B159" s="43"/>
      <c r="H159" s="77"/>
      <c r="I159" s="77"/>
      <c r="K159" s="60"/>
      <c r="N159" s="60"/>
    </row>
    <row r="160" spans="2:11" s="80" customFormat="1" ht="12.75">
      <c r="B160" s="83"/>
      <c r="H160" s="82"/>
      <c r="I160" s="82"/>
      <c r="K160" s="89"/>
    </row>
    <row r="161" spans="2:12" ht="12.75">
      <c r="B161" s="43"/>
      <c r="H161" s="77"/>
      <c r="I161" s="77"/>
      <c r="K161" s="60"/>
      <c r="L161" s="60"/>
    </row>
    <row r="162" spans="2:11" ht="12.75">
      <c r="B162" s="43"/>
      <c r="H162" s="77"/>
      <c r="I162" s="77"/>
      <c r="K162" s="60"/>
    </row>
    <row r="163" spans="2:14" ht="12.75">
      <c r="B163" s="43"/>
      <c r="H163" s="77"/>
      <c r="I163" s="77"/>
      <c r="K163" s="60"/>
      <c r="N163" s="60"/>
    </row>
    <row r="164" spans="2:11" ht="12.75">
      <c r="B164" s="43"/>
      <c r="H164" s="77"/>
      <c r="I164" s="77"/>
      <c r="K164" s="60"/>
    </row>
    <row r="165" spans="2:11" ht="12.75">
      <c r="B165" s="43"/>
      <c r="H165" s="77"/>
      <c r="I165" s="77"/>
      <c r="K165" s="96"/>
    </row>
    <row r="166" spans="2:11" ht="12.75">
      <c r="B166" s="43"/>
      <c r="H166" s="77"/>
      <c r="I166" s="77"/>
      <c r="K166" s="60"/>
    </row>
    <row r="167" spans="2:11" ht="12.75">
      <c r="B167" s="43"/>
      <c r="H167" s="77"/>
      <c r="I167" s="77"/>
      <c r="K167" s="60"/>
    </row>
    <row r="168" spans="2:11" ht="12.75">
      <c r="B168" s="43"/>
      <c r="H168" s="77"/>
      <c r="I168" s="77"/>
      <c r="K168" s="60"/>
    </row>
    <row r="169" spans="2:11" ht="12.75">
      <c r="B169" s="43"/>
      <c r="H169" s="77"/>
      <c r="I169" s="77"/>
      <c r="K169" s="60"/>
    </row>
    <row r="170" spans="2:14" ht="12.75">
      <c r="B170" s="43"/>
      <c r="C170" s="45"/>
      <c r="D170" s="45"/>
      <c r="F170" s="45"/>
      <c r="G170" s="45"/>
      <c r="H170" s="79"/>
      <c r="I170" s="97"/>
      <c r="J170" s="98"/>
      <c r="K170" s="87"/>
      <c r="N170" s="60"/>
    </row>
    <row r="171" spans="2:11" ht="12.75">
      <c r="B171" s="43"/>
      <c r="H171" s="77"/>
      <c r="I171" s="77"/>
      <c r="K171" s="60"/>
    </row>
    <row r="172" spans="2:11" ht="12.75">
      <c r="B172" s="43"/>
      <c r="H172" s="77"/>
      <c r="I172" s="77"/>
      <c r="K172" s="60"/>
    </row>
    <row r="173" spans="2:11" ht="12.75">
      <c r="B173" s="43"/>
      <c r="H173" s="77"/>
      <c r="I173" s="77"/>
      <c r="K173" s="60"/>
    </row>
    <row r="174" spans="2:11" ht="12.75">
      <c r="B174" s="43"/>
      <c r="H174" s="77"/>
      <c r="I174" s="77"/>
      <c r="K174" s="60"/>
    </row>
    <row r="175" spans="2:23" ht="12.75">
      <c r="B175" s="43"/>
      <c r="H175" s="77"/>
      <c r="I175" s="77"/>
      <c r="K175" s="60"/>
      <c r="L175" s="60"/>
      <c r="W175" s="60"/>
    </row>
    <row r="176" spans="2:23" ht="12.75">
      <c r="B176" s="43"/>
      <c r="H176" s="77"/>
      <c r="I176" s="77"/>
      <c r="K176" s="60"/>
      <c r="W176" s="60"/>
    </row>
    <row r="177" spans="2:11" ht="12.75">
      <c r="B177" s="43"/>
      <c r="H177" s="77"/>
      <c r="I177" s="77"/>
      <c r="K177" s="60"/>
    </row>
    <row r="178" spans="2:11" ht="12.75">
      <c r="B178" s="43"/>
      <c r="H178" s="77"/>
      <c r="I178" s="77"/>
      <c r="K178" s="60"/>
    </row>
    <row r="179" spans="2:11" ht="12.75">
      <c r="B179" s="43"/>
      <c r="H179" s="77"/>
      <c r="I179" s="77"/>
      <c r="K179" s="60"/>
    </row>
    <row r="180" spans="2:11" ht="12.75">
      <c r="B180" s="43"/>
      <c r="H180" s="77"/>
      <c r="I180" s="77"/>
      <c r="K180" s="60"/>
    </row>
    <row r="181" spans="2:11" ht="12.75">
      <c r="B181" s="43"/>
      <c r="H181" s="77"/>
      <c r="I181" s="77"/>
      <c r="K181" s="60"/>
    </row>
    <row r="182" spans="2:11" ht="12.75">
      <c r="B182" s="43"/>
      <c r="H182" s="77"/>
      <c r="I182" s="77"/>
      <c r="K182" s="60"/>
    </row>
    <row r="183" spans="2:11" ht="12.75">
      <c r="B183" s="43"/>
      <c r="H183" s="77"/>
      <c r="I183" s="77"/>
      <c r="K183" s="60"/>
    </row>
    <row r="184" spans="2:12" ht="12.75">
      <c r="B184" s="43"/>
      <c r="H184" s="77"/>
      <c r="I184" s="77"/>
      <c r="K184" s="60"/>
      <c r="L184" s="60"/>
    </row>
    <row r="185" spans="2:11" ht="12.75">
      <c r="B185" s="43"/>
      <c r="H185" s="77"/>
      <c r="I185" s="77"/>
      <c r="K185" s="60"/>
    </row>
    <row r="186" spans="2:11" ht="12.75">
      <c r="B186" s="43"/>
      <c r="H186" s="77"/>
      <c r="I186" s="77"/>
      <c r="K186" s="60"/>
    </row>
    <row r="187" spans="2:11" ht="12.75">
      <c r="B187" s="43"/>
      <c r="H187" s="77"/>
      <c r="I187" s="77"/>
      <c r="K187" s="60"/>
    </row>
    <row r="188" spans="2:16" ht="12.75">
      <c r="B188" s="43"/>
      <c r="H188" s="77"/>
      <c r="I188" s="77"/>
      <c r="K188" s="60"/>
      <c r="P188" s="78"/>
    </row>
    <row r="189" spans="2:11" ht="12.75">
      <c r="B189" s="43"/>
      <c r="H189" s="77"/>
      <c r="I189" s="77"/>
      <c r="K189" s="60"/>
    </row>
    <row r="190" spans="2:23" ht="12.75">
      <c r="B190" s="43"/>
      <c r="H190" s="77"/>
      <c r="I190" s="77"/>
      <c r="K190" s="60"/>
      <c r="L190" s="60"/>
      <c r="W190" s="60"/>
    </row>
    <row r="191" spans="2:11" ht="12.75">
      <c r="B191" s="43"/>
      <c r="H191" s="77"/>
      <c r="I191" s="77"/>
      <c r="K191" s="60"/>
    </row>
    <row r="192" spans="2:11" ht="12.75">
      <c r="B192" s="43"/>
      <c r="H192" s="77"/>
      <c r="I192" s="77"/>
      <c r="K192" s="60"/>
    </row>
    <row r="193" spans="2:12" ht="12.75">
      <c r="B193" s="43"/>
      <c r="H193" s="77"/>
      <c r="I193" s="77"/>
      <c r="K193" s="60"/>
      <c r="L193" s="60"/>
    </row>
    <row r="194" spans="2:11" ht="12.75">
      <c r="B194" s="43"/>
      <c r="H194" s="77"/>
      <c r="I194" s="77"/>
      <c r="K194" s="60"/>
    </row>
    <row r="195" spans="2:11" ht="12.75">
      <c r="B195" s="43"/>
      <c r="H195" s="77"/>
      <c r="I195" s="77"/>
      <c r="K195" s="60"/>
    </row>
    <row r="196" spans="2:11" ht="12.75">
      <c r="B196" s="43"/>
      <c r="H196" s="77"/>
      <c r="I196" s="77"/>
      <c r="K196" s="60"/>
    </row>
    <row r="197" spans="2:11" ht="12.75">
      <c r="B197" s="43"/>
      <c r="H197" s="77"/>
      <c r="I197" s="77"/>
      <c r="K197" s="60"/>
    </row>
    <row r="198" spans="2:11" ht="12.75">
      <c r="B198" s="43"/>
      <c r="H198" s="77"/>
      <c r="I198" s="95"/>
      <c r="K198" s="60"/>
    </row>
    <row r="199" spans="2:23" ht="12.75">
      <c r="B199" s="43"/>
      <c r="H199" s="77"/>
      <c r="I199" s="77"/>
      <c r="W199" s="60"/>
    </row>
    <row r="200" spans="2:11" ht="12.75">
      <c r="B200" s="43"/>
      <c r="H200" s="77"/>
      <c r="I200" s="77"/>
      <c r="K200" s="60"/>
    </row>
    <row r="201" spans="2:11" ht="12.75">
      <c r="B201" s="43"/>
      <c r="H201" s="77"/>
      <c r="I201" s="77"/>
      <c r="K201" s="60"/>
    </row>
    <row r="202" spans="2:11" ht="12.75">
      <c r="B202" s="43"/>
      <c r="H202" s="77"/>
      <c r="I202" s="77"/>
      <c r="K202" s="60"/>
    </row>
    <row r="203" spans="2:11" ht="12.75">
      <c r="B203" s="43"/>
      <c r="H203" s="77"/>
      <c r="I203" s="77"/>
      <c r="K203" s="96"/>
    </row>
    <row r="204" spans="2:11" ht="12.75">
      <c r="B204" s="43"/>
      <c r="H204" s="77"/>
      <c r="I204" s="77"/>
      <c r="K204" s="60"/>
    </row>
    <row r="205" spans="2:11" ht="12.75">
      <c r="B205" s="43"/>
      <c r="H205" s="77"/>
      <c r="I205" s="77"/>
      <c r="K205" s="60"/>
    </row>
    <row r="206" spans="2:11" ht="12.75">
      <c r="B206" s="43"/>
      <c r="H206" s="77"/>
      <c r="I206" s="77"/>
      <c r="K206" s="60"/>
    </row>
    <row r="207" spans="2:11" ht="12.75">
      <c r="B207" s="43"/>
      <c r="H207" s="77"/>
      <c r="I207" s="77"/>
      <c r="K207" s="60"/>
    </row>
    <row r="208" spans="2:11" ht="12.75">
      <c r="B208" s="43"/>
      <c r="H208" s="77"/>
      <c r="I208" s="77"/>
      <c r="K208" s="60"/>
    </row>
    <row r="209" spans="2:11" ht="12.75">
      <c r="B209" s="43"/>
      <c r="H209" s="77"/>
      <c r="I209" s="77"/>
      <c r="K209" s="60"/>
    </row>
    <row r="210" spans="2:11" ht="12.75">
      <c r="B210" s="43"/>
      <c r="H210" s="77"/>
      <c r="I210" s="77"/>
      <c r="K210" s="60"/>
    </row>
    <row r="211" spans="2:11" ht="12.75">
      <c r="B211" s="43"/>
      <c r="H211" s="77"/>
      <c r="I211" s="77"/>
      <c r="K211" s="60"/>
    </row>
    <row r="212" spans="2:11" ht="12.75">
      <c r="B212" s="43"/>
      <c r="H212" s="77"/>
      <c r="I212" s="77"/>
      <c r="K212" s="60"/>
    </row>
    <row r="213" spans="2:11" ht="12.75">
      <c r="B213" s="43"/>
      <c r="H213" s="77"/>
      <c r="I213" s="77"/>
      <c r="J213" s="77"/>
      <c r="K213" s="60"/>
    </row>
    <row r="214" spans="2:11" ht="12.75">
      <c r="B214" s="43"/>
      <c r="H214" s="77"/>
      <c r="I214" s="77"/>
      <c r="K214" s="60"/>
    </row>
    <row r="215" spans="2:11" s="80" customFormat="1" ht="12.75">
      <c r="B215" s="83"/>
      <c r="F215" s="83"/>
      <c r="H215" s="82"/>
      <c r="I215" s="82"/>
      <c r="K215" s="89"/>
    </row>
    <row r="216" spans="2:12" ht="12.75">
      <c r="B216" s="43"/>
      <c r="H216" s="77"/>
      <c r="I216" s="77"/>
      <c r="K216" s="60"/>
      <c r="L216" s="60"/>
    </row>
    <row r="217" spans="2:11" ht="12.75">
      <c r="B217" s="43"/>
      <c r="H217" s="77"/>
      <c r="I217" s="77"/>
      <c r="K217" s="60"/>
    </row>
    <row r="218" spans="2:11" ht="12.75">
      <c r="B218" s="43"/>
      <c r="H218" s="77"/>
      <c r="I218" s="77"/>
      <c r="K218" s="60"/>
    </row>
    <row r="219" spans="2:11" ht="12.75">
      <c r="B219" s="43"/>
      <c r="H219" s="77"/>
      <c r="I219" s="77"/>
      <c r="K219" s="60"/>
    </row>
    <row r="220" spans="2:11" ht="12.75">
      <c r="B220" s="43"/>
      <c r="H220" s="77"/>
      <c r="I220" s="77"/>
      <c r="K220" s="60"/>
    </row>
    <row r="221" spans="2:11" ht="12.75">
      <c r="B221" s="43"/>
      <c r="H221" s="99"/>
      <c r="I221" s="77"/>
      <c r="K221" s="60"/>
    </row>
    <row r="222" spans="2:11" ht="12.75">
      <c r="B222" s="43"/>
      <c r="H222" s="77"/>
      <c r="I222" s="77"/>
      <c r="K222" s="60"/>
    </row>
    <row r="223" spans="2:12" ht="12.75">
      <c r="B223" s="43"/>
      <c r="H223" s="77"/>
      <c r="I223" s="77"/>
      <c r="K223" s="60"/>
      <c r="L223" s="60"/>
    </row>
    <row r="224" spans="2:11" ht="12.75">
      <c r="B224" s="43"/>
      <c r="H224" s="77"/>
      <c r="I224" s="77"/>
      <c r="K224" s="60"/>
    </row>
    <row r="225" spans="2:23" ht="12.75">
      <c r="B225" s="43"/>
      <c r="H225" s="77"/>
      <c r="I225" s="77"/>
      <c r="K225" s="60"/>
      <c r="W225" s="60"/>
    </row>
    <row r="226" spans="2:11" ht="12.75">
      <c r="B226" s="43"/>
      <c r="H226" s="77"/>
      <c r="I226" s="77"/>
      <c r="K226" s="60"/>
    </row>
    <row r="227" spans="2:11" ht="12.75">
      <c r="B227" s="43"/>
      <c r="H227" s="77"/>
      <c r="I227" s="77"/>
      <c r="K227" s="60"/>
    </row>
    <row r="228" spans="2:11" ht="12.75">
      <c r="B228" s="43"/>
      <c r="H228" s="77"/>
      <c r="I228" s="77"/>
      <c r="K228" s="60"/>
    </row>
    <row r="229" spans="2:11" ht="12.75">
      <c r="B229" s="43"/>
      <c r="H229" s="77"/>
      <c r="I229" s="77"/>
      <c r="K229" s="60"/>
    </row>
    <row r="230" spans="2:11" ht="12.75">
      <c r="B230" s="43"/>
      <c r="H230" s="77"/>
      <c r="I230" s="77"/>
      <c r="K230" s="60"/>
    </row>
    <row r="231" spans="2:11" ht="12.75">
      <c r="B231" s="43"/>
      <c r="H231" s="77"/>
      <c r="I231" s="77"/>
      <c r="K231" s="60"/>
    </row>
    <row r="232" spans="2:11" ht="12.75">
      <c r="B232" s="43"/>
      <c r="H232" s="77"/>
      <c r="I232" s="77"/>
      <c r="K232" s="60"/>
    </row>
    <row r="233" spans="2:14" ht="12.75">
      <c r="B233" s="43"/>
      <c r="H233" s="77"/>
      <c r="I233" s="77"/>
      <c r="K233" s="60"/>
      <c r="N233" s="60"/>
    </row>
    <row r="234" spans="2:23" ht="12.75">
      <c r="B234" s="43"/>
      <c r="H234" s="77"/>
      <c r="I234" s="77"/>
      <c r="K234" s="60"/>
      <c r="W234" s="60"/>
    </row>
    <row r="235" spans="2:11" ht="12.75">
      <c r="B235" s="43"/>
      <c r="H235" s="77"/>
      <c r="I235" s="77"/>
      <c r="K235" s="60"/>
    </row>
    <row r="236" spans="2:11" ht="12.75">
      <c r="B236" s="43"/>
      <c r="H236" s="77"/>
      <c r="I236" s="77"/>
      <c r="K236" s="60"/>
    </row>
    <row r="237" spans="2:12" ht="12.75">
      <c r="B237" s="43"/>
      <c r="H237" s="77"/>
      <c r="I237" s="77"/>
      <c r="J237" s="77"/>
      <c r="K237" s="96"/>
      <c r="L237" s="60"/>
    </row>
    <row r="238" spans="2:11" ht="12.75">
      <c r="B238" s="43"/>
      <c r="H238" s="77"/>
      <c r="I238" s="77"/>
      <c r="K238" s="60"/>
    </row>
    <row r="239" spans="2:11" ht="12.75">
      <c r="B239" s="43"/>
      <c r="H239" s="77"/>
      <c r="I239" s="77"/>
      <c r="K239" s="60"/>
    </row>
    <row r="240" spans="2:11" ht="12.75">
      <c r="B240" s="43"/>
      <c r="H240" s="77"/>
      <c r="I240" s="77"/>
      <c r="K240" s="60"/>
    </row>
    <row r="241" spans="2:11" ht="12.75">
      <c r="B241" s="43"/>
      <c r="H241" s="77"/>
      <c r="I241" s="77"/>
      <c r="K241" s="60"/>
    </row>
    <row r="242" spans="2:11" ht="12.75">
      <c r="B242" s="43"/>
      <c r="H242" s="77"/>
      <c r="I242" s="77"/>
      <c r="K242" s="60"/>
    </row>
    <row r="243" spans="2:11" ht="12.75">
      <c r="B243" s="43"/>
      <c r="H243" s="77"/>
      <c r="I243" s="77"/>
      <c r="K243" s="60"/>
    </row>
    <row r="244" spans="2:11" ht="12.75">
      <c r="B244" s="43"/>
      <c r="H244" s="77"/>
      <c r="I244" s="77"/>
      <c r="K244" s="60"/>
    </row>
    <row r="245" spans="2:11" ht="12.75">
      <c r="B245" s="43"/>
      <c r="H245" s="77"/>
      <c r="I245" s="77"/>
      <c r="K245" s="60"/>
    </row>
    <row r="246" spans="2:11" ht="12.75">
      <c r="B246" s="43"/>
      <c r="H246" s="77"/>
      <c r="I246" s="77"/>
      <c r="K246" s="60"/>
    </row>
    <row r="247" spans="2:9" ht="12.75">
      <c r="B247" s="43"/>
      <c r="H247" s="77"/>
      <c r="I247" s="77"/>
    </row>
    <row r="248" spans="2:9" ht="12.75">
      <c r="B248" s="43"/>
      <c r="H248" s="77"/>
      <c r="I248" s="77"/>
    </row>
    <row r="249" spans="2:11" ht="12.75">
      <c r="B249" s="43"/>
      <c r="H249" s="77"/>
      <c r="I249" s="77"/>
      <c r="K249" s="60"/>
    </row>
    <row r="250" spans="2:9" ht="12.75">
      <c r="B250" s="43"/>
      <c r="H250" s="77"/>
      <c r="I250" s="77"/>
    </row>
    <row r="251" spans="2:11" ht="12.75">
      <c r="B251" s="43"/>
      <c r="H251" s="77"/>
      <c r="I251" s="77"/>
      <c r="K251" s="60"/>
    </row>
    <row r="252" spans="2:9" ht="12.75">
      <c r="B252" s="43"/>
      <c r="H252" s="77"/>
      <c r="I252" s="77"/>
    </row>
    <row r="253" spans="2:9" ht="12.75">
      <c r="B253" s="43"/>
      <c r="H253" s="77"/>
      <c r="I253" s="77"/>
    </row>
    <row r="254" spans="2:11" ht="12.75">
      <c r="B254" s="43"/>
      <c r="H254" s="77"/>
      <c r="I254" s="77"/>
      <c r="K254" s="60"/>
    </row>
    <row r="255" spans="2:11" ht="12.75">
      <c r="B255" s="43"/>
      <c r="H255" s="77"/>
      <c r="I255" s="77"/>
      <c r="K255" s="60"/>
    </row>
    <row r="256" spans="2:9" ht="12.75">
      <c r="B256" s="43"/>
      <c r="H256" s="77"/>
      <c r="I256" s="77"/>
    </row>
    <row r="257" spans="2:11" ht="12.75">
      <c r="B257" s="43"/>
      <c r="H257" s="77"/>
      <c r="I257" s="77"/>
      <c r="K257" s="60"/>
    </row>
    <row r="258" spans="2:11" ht="12.75">
      <c r="B258" s="43"/>
      <c r="H258" s="77"/>
      <c r="I258" s="77"/>
      <c r="J258" s="77"/>
      <c r="K258" s="60"/>
    </row>
    <row r="259" spans="2:11" ht="12.75">
      <c r="B259" s="43"/>
      <c r="H259" s="77"/>
      <c r="I259" s="77"/>
      <c r="J259" s="77"/>
      <c r="K259" s="60"/>
    </row>
    <row r="260" spans="2:14" ht="12.75">
      <c r="B260" s="43"/>
      <c r="H260" s="77"/>
      <c r="I260" s="77"/>
      <c r="J260" s="77"/>
      <c r="K260" s="96"/>
      <c r="N260" s="60"/>
    </row>
    <row r="261" spans="2:11" ht="12.75">
      <c r="B261" s="43"/>
      <c r="H261" s="77"/>
      <c r="I261" s="77"/>
      <c r="J261" s="77"/>
      <c r="K261" s="60"/>
    </row>
    <row r="262" spans="2:11" ht="12.75">
      <c r="B262" s="43"/>
      <c r="H262" s="77"/>
      <c r="I262" s="77"/>
      <c r="J262" s="77"/>
      <c r="K262" s="60"/>
    </row>
    <row r="263" spans="2:12" ht="12.75">
      <c r="B263" s="43"/>
      <c r="H263" s="77"/>
      <c r="I263" s="77"/>
      <c r="J263" s="77"/>
      <c r="K263" s="60"/>
      <c r="L263" s="60"/>
    </row>
    <row r="264" spans="2:12" ht="12.75">
      <c r="B264" s="43"/>
      <c r="H264" s="77"/>
      <c r="I264" s="77"/>
      <c r="J264" s="77"/>
      <c r="K264" s="60"/>
      <c r="L264" s="60"/>
    </row>
    <row r="265" spans="2:12" ht="12.75">
      <c r="B265" s="43"/>
      <c r="H265" s="77"/>
      <c r="I265" s="77"/>
      <c r="J265" s="77"/>
      <c r="K265" s="60"/>
      <c r="L265" s="60"/>
    </row>
    <row r="266" spans="2:11" ht="12.75">
      <c r="B266" s="43"/>
      <c r="H266" s="77"/>
      <c r="I266" s="77"/>
      <c r="J266" s="77"/>
      <c r="K266" s="60"/>
    </row>
    <row r="267" spans="2:11" ht="12.75">
      <c r="B267" s="43"/>
      <c r="H267" s="77"/>
      <c r="I267" s="95"/>
      <c r="J267" s="77"/>
      <c r="K267" s="60"/>
    </row>
    <row r="268" spans="2:11" ht="12.75">
      <c r="B268" s="43"/>
      <c r="H268" s="77"/>
      <c r="I268" s="77"/>
      <c r="J268" s="77"/>
      <c r="K268" s="60"/>
    </row>
    <row r="269" spans="2:11" ht="12.75">
      <c r="B269" s="43"/>
      <c r="H269" s="77"/>
      <c r="I269" s="77"/>
      <c r="J269" s="77"/>
      <c r="K269" s="60"/>
    </row>
    <row r="270" spans="2:11" ht="12.75">
      <c r="B270" s="43"/>
      <c r="H270" s="77"/>
      <c r="I270" s="77"/>
      <c r="J270" s="77"/>
      <c r="K270" s="60"/>
    </row>
    <row r="271" spans="2:11" ht="12.75">
      <c r="B271" s="43"/>
      <c r="H271" s="77"/>
      <c r="I271" s="77"/>
      <c r="J271" s="77"/>
      <c r="K271" s="60"/>
    </row>
    <row r="272" spans="2:11" ht="12.75">
      <c r="B272" s="43"/>
      <c r="H272" s="77"/>
      <c r="I272" s="77"/>
      <c r="K272" s="60"/>
    </row>
    <row r="273" spans="2:11" ht="12.75">
      <c r="B273" s="43"/>
      <c r="H273" s="77"/>
      <c r="I273" s="77"/>
      <c r="K273" s="60"/>
    </row>
    <row r="274" spans="2:11" ht="12.75">
      <c r="B274" s="43"/>
      <c r="H274" s="77"/>
      <c r="I274" s="77"/>
      <c r="K274" s="60"/>
    </row>
    <row r="275" spans="2:11" ht="12.75">
      <c r="B275" s="43"/>
      <c r="H275" s="77"/>
      <c r="I275" s="77"/>
      <c r="K275" s="60"/>
    </row>
    <row r="276" spans="2:11" ht="12.75">
      <c r="B276" s="43"/>
      <c r="H276" s="77"/>
      <c r="I276" s="77"/>
      <c r="K276" s="60"/>
    </row>
    <row r="277" spans="2:9" ht="12.75">
      <c r="B277" s="43"/>
      <c r="H277" s="77"/>
      <c r="I277" s="77"/>
    </row>
    <row r="278" spans="2:11" ht="12.75">
      <c r="B278" s="43"/>
      <c r="H278" s="77"/>
      <c r="I278" s="77"/>
      <c r="K278" s="60"/>
    </row>
    <row r="279" spans="2:11" ht="12.75">
      <c r="B279" s="43"/>
      <c r="H279" s="77"/>
      <c r="I279" s="77"/>
      <c r="K279" s="60"/>
    </row>
    <row r="280" spans="2:11" ht="12.75">
      <c r="B280" s="43"/>
      <c r="H280" s="77"/>
      <c r="I280" s="77"/>
      <c r="K280" s="60"/>
    </row>
    <row r="281" spans="2:14" ht="12.75">
      <c r="B281" s="43"/>
      <c r="H281" s="77"/>
      <c r="I281" s="77"/>
      <c r="K281" s="60"/>
      <c r="N281" s="60"/>
    </row>
    <row r="282" spans="2:9" ht="12.75">
      <c r="B282" s="43"/>
      <c r="H282" s="77"/>
      <c r="I282" s="77"/>
    </row>
    <row r="283" spans="2:9" ht="12.75">
      <c r="B283" s="43"/>
      <c r="H283" s="77"/>
      <c r="I283" s="77"/>
    </row>
    <row r="284" spans="2:11" ht="12.75">
      <c r="B284" s="43"/>
      <c r="H284" s="77"/>
      <c r="I284" s="77"/>
      <c r="K284" s="60"/>
    </row>
    <row r="285" spans="2:12" ht="12.75">
      <c r="B285" s="43"/>
      <c r="H285" s="77"/>
      <c r="I285" s="77"/>
      <c r="K285" s="60"/>
      <c r="L285" s="60"/>
    </row>
    <row r="286" spans="2:11" ht="12.75">
      <c r="B286" s="43"/>
      <c r="H286" s="77"/>
      <c r="I286" s="77"/>
      <c r="K286" s="60"/>
    </row>
    <row r="287" spans="2:11" ht="12.75">
      <c r="B287" s="43"/>
      <c r="H287" s="77"/>
      <c r="I287" s="77"/>
      <c r="K287" s="60"/>
    </row>
    <row r="288" spans="2:11" ht="12.75">
      <c r="B288" s="43"/>
      <c r="H288" s="77"/>
      <c r="I288" s="77"/>
      <c r="K288" s="60"/>
    </row>
    <row r="289" spans="2:11" ht="12.75">
      <c r="B289" s="43"/>
      <c r="H289" s="77"/>
      <c r="I289" s="77"/>
      <c r="K289" s="60"/>
    </row>
    <row r="290" spans="2:11" ht="12.75">
      <c r="B290" s="43"/>
      <c r="H290" s="77"/>
      <c r="I290" s="77"/>
      <c r="K290" s="60"/>
    </row>
    <row r="291" spans="2:9" ht="12.75">
      <c r="B291" s="43"/>
      <c r="H291" s="77"/>
      <c r="I291" s="77"/>
    </row>
    <row r="292" spans="2:11" ht="12.75">
      <c r="B292" s="43"/>
      <c r="H292" s="77"/>
      <c r="I292" s="77"/>
      <c r="K292" s="60"/>
    </row>
    <row r="293" spans="2:9" ht="12.75">
      <c r="B293" s="43"/>
      <c r="H293" s="77"/>
      <c r="I293" s="77"/>
    </row>
    <row r="294" spans="2:11" ht="12.75">
      <c r="B294" s="43"/>
      <c r="H294" s="77"/>
      <c r="I294" s="77"/>
      <c r="K294" s="60"/>
    </row>
    <row r="295" spans="2:12" ht="12.75">
      <c r="B295" s="43"/>
      <c r="H295" s="77"/>
      <c r="I295" s="77"/>
      <c r="K295" s="60"/>
      <c r="L295" s="60"/>
    </row>
    <row r="296" spans="2:12" ht="12.75">
      <c r="B296" s="43"/>
      <c r="H296" s="77"/>
      <c r="I296" s="77"/>
      <c r="K296" s="60"/>
      <c r="L296" s="60"/>
    </row>
    <row r="297" spans="2:9" ht="12.75">
      <c r="B297" s="43"/>
      <c r="H297" s="77"/>
      <c r="I297" s="77"/>
    </row>
    <row r="298" spans="2:9" ht="12.75">
      <c r="B298" s="43"/>
      <c r="H298" s="77"/>
      <c r="I298" s="77"/>
    </row>
    <row r="299" spans="2:12" ht="12.75">
      <c r="B299" s="43"/>
      <c r="H299" s="77"/>
      <c r="I299" s="77"/>
      <c r="K299" s="60"/>
      <c r="L299" s="60"/>
    </row>
    <row r="300" spans="2:11" ht="12.75">
      <c r="B300" s="43"/>
      <c r="H300" s="77"/>
      <c r="I300" s="77"/>
      <c r="K300" s="60"/>
    </row>
    <row r="301" spans="2:11" ht="12.75">
      <c r="B301" s="43"/>
      <c r="H301" s="77"/>
      <c r="I301" s="77"/>
      <c r="K301" s="60"/>
    </row>
    <row r="302" spans="2:9" ht="12.75">
      <c r="B302" s="43"/>
      <c r="H302" s="77"/>
      <c r="I302" s="77"/>
    </row>
    <row r="303" spans="2:9" ht="12.75">
      <c r="B303" s="43"/>
      <c r="H303" s="77"/>
      <c r="I303" s="77"/>
    </row>
    <row r="304" spans="2:12" ht="12.75">
      <c r="B304" s="43"/>
      <c r="H304" s="77"/>
      <c r="I304" s="77"/>
      <c r="K304" s="60"/>
      <c r="L304" s="60"/>
    </row>
    <row r="305" spans="2:11" ht="12.75">
      <c r="B305" s="43"/>
      <c r="H305" s="77"/>
      <c r="I305" s="77"/>
      <c r="K305" s="60"/>
    </row>
    <row r="306" spans="2:11" ht="12.75">
      <c r="B306" s="43"/>
      <c r="H306" s="77"/>
      <c r="I306" s="77"/>
      <c r="K306" s="60"/>
    </row>
    <row r="307" spans="2:11" ht="12.75">
      <c r="B307" s="43"/>
      <c r="H307" s="77"/>
      <c r="I307" s="77"/>
      <c r="K307" s="60"/>
    </row>
    <row r="308" spans="2:12" ht="12.75">
      <c r="B308" s="43"/>
      <c r="H308" s="100"/>
      <c r="I308" s="77"/>
      <c r="K308" s="60"/>
      <c r="L308" s="60"/>
    </row>
    <row r="309" spans="2:12" ht="12.75">
      <c r="B309" s="43"/>
      <c r="H309" s="100"/>
      <c r="I309" s="77"/>
      <c r="K309" s="60"/>
      <c r="L309" s="60"/>
    </row>
    <row r="310" spans="2:11" ht="12.75">
      <c r="B310" s="43"/>
      <c r="H310" s="100"/>
      <c r="I310" s="77"/>
      <c r="K310" s="60"/>
    </row>
    <row r="311" spans="2:9" ht="12.75">
      <c r="B311" s="43"/>
      <c r="H311" s="77"/>
      <c r="I311" s="77"/>
    </row>
    <row r="312" spans="2:11" ht="12.75">
      <c r="B312" s="43"/>
      <c r="H312"/>
      <c r="I312" s="77"/>
      <c r="K312" s="60"/>
    </row>
    <row r="313" spans="2:12" ht="12.75">
      <c r="B313" s="43"/>
      <c r="H313" s="77"/>
      <c r="I313" s="77"/>
      <c r="K313" s="60"/>
      <c r="L313" s="60"/>
    </row>
    <row r="314" spans="2:11" ht="12.75">
      <c r="B314" s="43"/>
      <c r="H314" s="77"/>
      <c r="I314" s="77"/>
      <c r="K314" s="60"/>
    </row>
    <row r="315" spans="2:9" ht="12.75">
      <c r="B315" s="43"/>
      <c r="C315" s="78"/>
      <c r="H315" s="77"/>
      <c r="I315" s="77"/>
    </row>
    <row r="316" spans="2:11" ht="12.75">
      <c r="B316" s="43"/>
      <c r="H316" s="77"/>
      <c r="I316" s="77"/>
      <c r="K316" s="60"/>
    </row>
    <row r="317" spans="2:12" ht="12.75">
      <c r="B317" s="43"/>
      <c r="H317" s="77"/>
      <c r="I317" s="77"/>
      <c r="K317" s="60"/>
      <c r="L317" s="60"/>
    </row>
    <row r="318" spans="2:11" ht="12.75">
      <c r="B318" s="43"/>
      <c r="H318" s="77"/>
      <c r="I318" s="77"/>
      <c r="K318" s="60"/>
    </row>
    <row r="319" spans="2:12" ht="12.75">
      <c r="B319" s="43"/>
      <c r="H319" s="77"/>
      <c r="I319" s="77"/>
      <c r="K319" s="60"/>
      <c r="L319" s="60"/>
    </row>
    <row r="320" spans="2:11" ht="12.75">
      <c r="B320" s="43"/>
      <c r="H320" s="77"/>
      <c r="I320" s="77"/>
      <c r="K320" s="60"/>
    </row>
    <row r="321" spans="2:9" ht="12.75">
      <c r="B321" s="43"/>
      <c r="H321" s="77"/>
      <c r="I321" s="77"/>
    </row>
    <row r="322" spans="2:11" ht="12.75">
      <c r="B322" s="43"/>
      <c r="H322" s="77"/>
      <c r="I322" s="77"/>
      <c r="K322" s="60"/>
    </row>
    <row r="323" spans="2:11" ht="12.75">
      <c r="B323" s="43"/>
      <c r="H323" s="77"/>
      <c r="I323" s="77"/>
      <c r="K323" s="60"/>
    </row>
    <row r="324" spans="2:11" ht="12.75">
      <c r="B324" s="43"/>
      <c r="H324" s="77"/>
      <c r="I324" s="77"/>
      <c r="K324" s="60"/>
    </row>
    <row r="325" spans="2:11" ht="12.75">
      <c r="B325" s="43"/>
      <c r="H325" s="77"/>
      <c r="I325" s="77"/>
      <c r="K325" s="60"/>
    </row>
    <row r="326" spans="2:11" ht="12.75">
      <c r="B326" s="43"/>
      <c r="H326" s="77"/>
      <c r="I326" s="77"/>
      <c r="K326" s="60"/>
    </row>
    <row r="327" spans="2:11" ht="12.75">
      <c r="B327" s="43"/>
      <c r="H327" s="77"/>
      <c r="I327" s="77"/>
      <c r="K327" s="60"/>
    </row>
    <row r="328" spans="2:11" ht="12.75">
      <c r="B328" s="43"/>
      <c r="H328" s="77"/>
      <c r="I328" s="77"/>
      <c r="K328" s="60"/>
    </row>
    <row r="329" spans="2:11" ht="12.75">
      <c r="B329" s="43"/>
      <c r="H329" s="77"/>
      <c r="I329" s="77"/>
      <c r="K329" s="60"/>
    </row>
    <row r="330" spans="2:11" ht="12.75">
      <c r="B330" s="43"/>
      <c r="H330" s="77"/>
      <c r="I330" s="77"/>
      <c r="K330" s="60"/>
    </row>
    <row r="331" spans="2:11" ht="12.75">
      <c r="B331" s="43"/>
      <c r="H331" s="77"/>
      <c r="I331" s="77"/>
      <c r="K331" s="60"/>
    </row>
    <row r="332" spans="2:11" ht="12.75">
      <c r="B332" s="43"/>
      <c r="H332" s="77"/>
      <c r="I332" s="77"/>
      <c r="K332" s="60"/>
    </row>
    <row r="333" spans="2:11" ht="12.75">
      <c r="B333" s="43"/>
      <c r="H333" s="77"/>
      <c r="I333" s="77"/>
      <c r="K333" s="60"/>
    </row>
    <row r="334" spans="2:11" ht="12.75">
      <c r="B334" s="43"/>
      <c r="H334" s="77"/>
      <c r="I334" s="77"/>
      <c r="K334" s="60"/>
    </row>
    <row r="335" spans="2:11" ht="12.75">
      <c r="B335" s="43"/>
      <c r="H335" s="77"/>
      <c r="I335" s="77"/>
      <c r="K335" s="60"/>
    </row>
    <row r="336" spans="2:11" ht="12.75">
      <c r="B336" s="43"/>
      <c r="H336" s="77"/>
      <c r="I336" s="77"/>
      <c r="K336" s="60"/>
    </row>
    <row r="337" spans="2:11" ht="12.75">
      <c r="B337" s="43"/>
      <c r="H337" s="77"/>
      <c r="I337" s="77"/>
      <c r="K337" s="60"/>
    </row>
    <row r="338" spans="2:12" ht="12.75">
      <c r="B338" s="43"/>
      <c r="H338" s="77"/>
      <c r="I338" s="77"/>
      <c r="K338" s="60"/>
      <c r="L338" s="60"/>
    </row>
    <row r="339" spans="2:11" ht="12.75">
      <c r="B339" s="43">
        <v>341</v>
      </c>
      <c r="C339" s="1" t="s">
        <v>169</v>
      </c>
      <c r="D339" s="1" t="s">
        <v>170</v>
      </c>
      <c r="E339" s="1" t="s">
        <v>171</v>
      </c>
      <c r="F339" s="1">
        <v>96052</v>
      </c>
      <c r="G339" s="1" t="s">
        <v>172</v>
      </c>
      <c r="H339" s="77"/>
      <c r="I339" s="77">
        <v>4915125367919</v>
      </c>
      <c r="K339" s="60" t="s">
        <v>173</v>
      </c>
    </row>
    <row r="340" spans="2:11" ht="12.75">
      <c r="B340" s="43">
        <v>342</v>
      </c>
      <c r="C340" s="1" t="s">
        <v>174</v>
      </c>
      <c r="D340" s="1" t="s">
        <v>175</v>
      </c>
      <c r="E340" s="1" t="s">
        <v>171</v>
      </c>
      <c r="F340" s="1">
        <v>96049</v>
      </c>
      <c r="G340" s="1" t="s">
        <v>176</v>
      </c>
      <c r="H340" s="77"/>
      <c r="I340" s="77">
        <v>4915120045632</v>
      </c>
      <c r="K340" s="60" t="s">
        <v>177</v>
      </c>
    </row>
    <row r="341" spans="2:11" ht="12.75">
      <c r="B341" s="43">
        <v>343</v>
      </c>
      <c r="C341" s="1" t="s">
        <v>178</v>
      </c>
      <c r="D341" s="1" t="s">
        <v>179</v>
      </c>
      <c r="E341" s="1" t="s">
        <v>180</v>
      </c>
      <c r="F341" s="1">
        <v>96117</v>
      </c>
      <c r="G341" s="1" t="s">
        <v>181</v>
      </c>
      <c r="H341" s="77">
        <v>499505800169</v>
      </c>
      <c r="I341" s="77">
        <v>491637017568</v>
      </c>
      <c r="K341" s="60" t="s">
        <v>182</v>
      </c>
    </row>
    <row r="342" spans="2:11" ht="12.75">
      <c r="B342" s="43">
        <v>344</v>
      </c>
      <c r="C342" s="1" t="s">
        <v>183</v>
      </c>
      <c r="D342" s="1" t="s">
        <v>184</v>
      </c>
      <c r="E342" s="1" t="s">
        <v>180</v>
      </c>
      <c r="F342" s="1">
        <v>96117</v>
      </c>
      <c r="G342" s="1" t="s">
        <v>185</v>
      </c>
      <c r="H342" s="77">
        <v>499512994739</v>
      </c>
      <c r="I342" s="77">
        <v>4917653004845</v>
      </c>
      <c r="K342" s="60" t="s">
        <v>186</v>
      </c>
    </row>
    <row r="343" spans="2:11" ht="12.75">
      <c r="B343" s="43">
        <v>345</v>
      </c>
      <c r="C343" s="1" t="s">
        <v>187</v>
      </c>
      <c r="E343" s="1" t="s">
        <v>171</v>
      </c>
      <c r="F343" s="1">
        <v>96117</v>
      </c>
      <c r="G343" s="1" t="s">
        <v>181</v>
      </c>
      <c r="H343" s="77"/>
      <c r="I343" s="77">
        <v>4917621142836</v>
      </c>
      <c r="K343" s="60" t="s">
        <v>188</v>
      </c>
    </row>
    <row r="344" spans="2:11" ht="12.75">
      <c r="B344" s="43">
        <v>346</v>
      </c>
      <c r="C344" s="1" t="s">
        <v>189</v>
      </c>
      <c r="D344" s="1" t="s">
        <v>190</v>
      </c>
      <c r="E344" s="1" t="s">
        <v>171</v>
      </c>
      <c r="F344" s="1">
        <v>91352</v>
      </c>
      <c r="G344" s="1" t="s">
        <v>191</v>
      </c>
      <c r="H344" s="77">
        <v>499545443663</v>
      </c>
      <c r="I344" s="77">
        <v>4915738881243</v>
      </c>
      <c r="K344" s="60" t="s">
        <v>192</v>
      </c>
    </row>
    <row r="345" spans="2:11" ht="12.75">
      <c r="B345" s="43">
        <v>347</v>
      </c>
      <c r="C345" s="1" t="s">
        <v>193</v>
      </c>
      <c r="H345" s="77"/>
      <c r="I345" s="77">
        <v>4915738881243</v>
      </c>
      <c r="K345" s="60" t="s">
        <v>192</v>
      </c>
    </row>
    <row r="346" spans="2:11" ht="12.75">
      <c r="B346" s="43">
        <v>348</v>
      </c>
      <c r="C346" s="1" t="s">
        <v>194</v>
      </c>
      <c r="D346" s="1" t="s">
        <v>195</v>
      </c>
      <c r="E346" s="1" t="s">
        <v>171</v>
      </c>
      <c r="F346" s="1">
        <v>96117</v>
      </c>
      <c r="G346" s="1" t="s">
        <v>196</v>
      </c>
      <c r="H346" s="77"/>
      <c r="I346" s="77">
        <v>491719797291</v>
      </c>
      <c r="K346" s="60" t="s">
        <v>197</v>
      </c>
    </row>
    <row r="347" spans="2:23" ht="12.75">
      <c r="B347" s="43">
        <v>349</v>
      </c>
      <c r="C347" s="1" t="s">
        <v>198</v>
      </c>
      <c r="D347" s="1" t="s">
        <v>199</v>
      </c>
      <c r="E347" s="1" t="s">
        <v>171</v>
      </c>
      <c r="F347" s="1">
        <v>93047</v>
      </c>
      <c r="G347" s="1" t="s">
        <v>200</v>
      </c>
      <c r="H347" s="77">
        <v>4994158011</v>
      </c>
      <c r="I347" s="77">
        <v>491751443863</v>
      </c>
      <c r="K347" s="60" t="s">
        <v>201</v>
      </c>
      <c r="V347" s="1" t="s">
        <v>202</v>
      </c>
      <c r="W347" s="60" t="s">
        <v>203</v>
      </c>
    </row>
    <row r="348" spans="2:11" ht="12.75">
      <c r="B348" s="43">
        <v>350</v>
      </c>
      <c r="C348" s="1" t="s">
        <v>204</v>
      </c>
      <c r="D348" s="1" t="s">
        <v>205</v>
      </c>
      <c r="E348" s="1" t="s">
        <v>171</v>
      </c>
      <c r="F348" s="1">
        <v>96117</v>
      </c>
      <c r="G348" s="1" t="s">
        <v>206</v>
      </c>
      <c r="H348" s="77">
        <v>4995144391</v>
      </c>
      <c r="I348" s="77"/>
      <c r="K348" s="60" t="s">
        <v>207</v>
      </c>
    </row>
    <row r="349" spans="2:9" ht="12.75">
      <c r="B349" s="43">
        <v>351</v>
      </c>
      <c r="C349" s="1" t="s">
        <v>208</v>
      </c>
      <c r="D349" s="1" t="s">
        <v>209</v>
      </c>
      <c r="E349" s="1" t="s">
        <v>171</v>
      </c>
      <c r="F349" s="1">
        <v>96149</v>
      </c>
      <c r="G349" s="1" t="s">
        <v>210</v>
      </c>
      <c r="H349" s="77">
        <v>499544988887</v>
      </c>
      <c r="I349" s="77">
        <v>491714000114</v>
      </c>
    </row>
    <row r="350" spans="2:9" ht="12.75">
      <c r="B350" s="43">
        <v>352</v>
      </c>
      <c r="C350" s="1" t="s">
        <v>211</v>
      </c>
      <c r="D350" s="1" t="s">
        <v>212</v>
      </c>
      <c r="E350" s="1" t="s">
        <v>171</v>
      </c>
      <c r="F350" s="1">
        <v>96152</v>
      </c>
      <c r="G350" s="1" t="s">
        <v>213</v>
      </c>
      <c r="H350" s="77"/>
      <c r="I350" s="77">
        <v>4915214064248</v>
      </c>
    </row>
    <row r="351" spans="2:29" ht="12.75">
      <c r="B351" s="43">
        <v>353</v>
      </c>
      <c r="C351" s="1" t="s">
        <v>214</v>
      </c>
      <c r="D351" s="1" t="s">
        <v>215</v>
      </c>
      <c r="E351" s="1" t="s">
        <v>171</v>
      </c>
      <c r="F351" s="1">
        <v>96106</v>
      </c>
      <c r="G351" s="1" t="s">
        <v>216</v>
      </c>
      <c r="H351" s="77">
        <v>4995319433790</v>
      </c>
      <c r="I351" s="77">
        <v>491742184327</v>
      </c>
      <c r="K351" s="60" t="s">
        <v>217</v>
      </c>
      <c r="Y351" s="1" t="s">
        <v>218</v>
      </c>
      <c r="Z351" s="1" t="s">
        <v>219</v>
      </c>
      <c r="AA351" s="1" t="s">
        <v>171</v>
      </c>
      <c r="AB351" s="1">
        <v>96190</v>
      </c>
      <c r="AC351" s="1" t="s">
        <v>220</v>
      </c>
    </row>
    <row r="352" spans="2:29" ht="12.75">
      <c r="B352" s="43">
        <v>354</v>
      </c>
      <c r="C352" s="1" t="s">
        <v>221</v>
      </c>
      <c r="D352" s="1" t="s">
        <v>222</v>
      </c>
      <c r="E352" s="1" t="s">
        <v>171</v>
      </c>
      <c r="F352" s="1">
        <v>96253</v>
      </c>
      <c r="G352" s="1" t="s">
        <v>223</v>
      </c>
      <c r="H352" s="77"/>
      <c r="I352" s="77">
        <v>4915163037920</v>
      </c>
      <c r="J352" s="77">
        <v>40723545322</v>
      </c>
      <c r="K352" s="60" t="s">
        <v>224</v>
      </c>
      <c r="P352" s="1" t="s">
        <v>225</v>
      </c>
      <c r="Q352" s="1" t="s">
        <v>226</v>
      </c>
      <c r="R352" s="1" t="s">
        <v>227</v>
      </c>
      <c r="T352" s="1" t="s">
        <v>228</v>
      </c>
      <c r="Y352" s="1" t="s">
        <v>218</v>
      </c>
      <c r="Z352" s="1" t="s">
        <v>219</v>
      </c>
      <c r="AA352" s="1" t="s">
        <v>171</v>
      </c>
      <c r="AB352" s="1">
        <v>96190</v>
      </c>
      <c r="AC352" s="1" t="s">
        <v>220</v>
      </c>
    </row>
    <row r="353" spans="2:29" ht="12.75">
      <c r="B353" s="43">
        <v>355</v>
      </c>
      <c r="C353" s="1" t="s">
        <v>229</v>
      </c>
      <c r="H353" s="77"/>
      <c r="I353" s="77">
        <v>4915151051948</v>
      </c>
      <c r="J353" s="77"/>
      <c r="K353" s="60"/>
      <c r="Y353" s="1" t="s">
        <v>218</v>
      </c>
      <c r="Z353" s="1" t="s">
        <v>219</v>
      </c>
      <c r="AA353" s="1" t="s">
        <v>171</v>
      </c>
      <c r="AB353" s="1">
        <v>96190</v>
      </c>
      <c r="AC353" s="1" t="s">
        <v>220</v>
      </c>
    </row>
    <row r="354" spans="2:11" ht="12.75">
      <c r="B354" s="43">
        <v>356</v>
      </c>
      <c r="C354" s="1" t="s">
        <v>230</v>
      </c>
      <c r="D354" s="1" t="s">
        <v>222</v>
      </c>
      <c r="E354" s="1" t="s">
        <v>171</v>
      </c>
      <c r="F354" s="1">
        <v>96253</v>
      </c>
      <c r="G354" s="1" t="s">
        <v>223</v>
      </c>
      <c r="H354" s="77"/>
      <c r="I354" s="77">
        <v>4915205757104</v>
      </c>
      <c r="J354" s="77">
        <v>381628761796</v>
      </c>
      <c r="K354" s="60" t="s">
        <v>231</v>
      </c>
    </row>
    <row r="355" spans="2:11" ht="12.75">
      <c r="B355" s="43">
        <v>357</v>
      </c>
      <c r="C355" s="1" t="s">
        <v>232</v>
      </c>
      <c r="D355" s="1" t="s">
        <v>222</v>
      </c>
      <c r="E355" s="1" t="s">
        <v>171</v>
      </c>
      <c r="F355" s="1">
        <v>96253</v>
      </c>
      <c r="G355" s="1" t="s">
        <v>223</v>
      </c>
      <c r="H355" s="77"/>
      <c r="I355" s="77">
        <v>491709493724</v>
      </c>
      <c r="J355" s="77"/>
      <c r="K355" s="60" t="s">
        <v>233</v>
      </c>
    </row>
    <row r="356" spans="2:11" ht="12.75">
      <c r="B356" s="43">
        <v>358</v>
      </c>
      <c r="C356" s="1" t="s">
        <v>234</v>
      </c>
      <c r="E356" s="1" t="s">
        <v>180</v>
      </c>
      <c r="G356" s="1" t="s">
        <v>176</v>
      </c>
      <c r="H356" s="101"/>
      <c r="I356" s="77">
        <v>4917624761660</v>
      </c>
      <c r="J356" s="77"/>
      <c r="K356" s="60" t="s">
        <v>235</v>
      </c>
    </row>
    <row r="357" spans="2:11" ht="12.75">
      <c r="B357" s="43">
        <v>359</v>
      </c>
      <c r="C357" s="1" t="s">
        <v>236</v>
      </c>
      <c r="D357" s="1" t="s">
        <v>237</v>
      </c>
      <c r="E357" s="1" t="s">
        <v>171</v>
      </c>
      <c r="F357" s="1">
        <v>96117</v>
      </c>
      <c r="G357" s="1" t="s">
        <v>206</v>
      </c>
      <c r="H357" s="77">
        <v>4995144474</v>
      </c>
      <c r="I357" s="77">
        <v>4917641515568</v>
      </c>
      <c r="J357" s="77"/>
      <c r="K357" s="60" t="s">
        <v>238</v>
      </c>
    </row>
    <row r="358" spans="2:11" ht="12.75">
      <c r="B358" s="43">
        <v>360</v>
      </c>
      <c r="C358" s="1" t="s">
        <v>239</v>
      </c>
      <c r="D358" s="1" t="s">
        <v>240</v>
      </c>
      <c r="E358" s="1" t="s">
        <v>171</v>
      </c>
      <c r="F358" s="1">
        <v>96117</v>
      </c>
      <c r="G358" s="1" t="s">
        <v>241</v>
      </c>
      <c r="H358" s="77">
        <v>499514078833</v>
      </c>
      <c r="I358" s="77"/>
      <c r="J358" s="77"/>
      <c r="K358" s="60" t="s">
        <v>242</v>
      </c>
    </row>
    <row r="359" spans="2:11" ht="12.75">
      <c r="B359" s="43">
        <v>361</v>
      </c>
      <c r="C359" s="1" t="s">
        <v>243</v>
      </c>
      <c r="D359" s="1" t="s">
        <v>244</v>
      </c>
      <c r="E359" s="1" t="s">
        <v>171</v>
      </c>
      <c r="F359" s="1">
        <v>96110</v>
      </c>
      <c r="G359" s="1" t="s">
        <v>245</v>
      </c>
      <c r="H359" s="77"/>
      <c r="I359" s="77">
        <v>491607792620</v>
      </c>
      <c r="J359" s="77"/>
      <c r="K359" s="102" t="s">
        <v>246</v>
      </c>
    </row>
    <row r="360" spans="1:11" ht="12.75">
      <c r="A360" s="45">
        <v>2028</v>
      </c>
      <c r="B360" s="43">
        <v>362</v>
      </c>
      <c r="C360" s="1" t="s">
        <v>247</v>
      </c>
      <c r="D360" s="1" t="s">
        <v>248</v>
      </c>
      <c r="E360" s="1" t="s">
        <v>171</v>
      </c>
      <c r="F360" s="1">
        <v>96117</v>
      </c>
      <c r="G360" s="1" t="s">
        <v>249</v>
      </c>
      <c r="H360" s="77">
        <v>4995428114</v>
      </c>
      <c r="I360" s="77"/>
      <c r="J360" s="77"/>
      <c r="K360" s="60" t="s">
        <v>250</v>
      </c>
    </row>
    <row r="361" spans="2:11" ht="12.75">
      <c r="B361" s="43">
        <v>363</v>
      </c>
      <c r="C361" s="1" t="s">
        <v>251</v>
      </c>
      <c r="D361" s="1" t="s">
        <v>252</v>
      </c>
      <c r="E361" s="1" t="s">
        <v>171</v>
      </c>
      <c r="F361" s="1">
        <v>96176</v>
      </c>
      <c r="G361" s="1" t="s">
        <v>253</v>
      </c>
      <c r="H361" s="77"/>
      <c r="I361" s="77">
        <v>4915142334191</v>
      </c>
      <c r="J361" s="77"/>
      <c r="K361" s="60" t="s">
        <v>254</v>
      </c>
    </row>
    <row r="362" spans="2:11" ht="12.75">
      <c r="B362" s="43">
        <v>364</v>
      </c>
      <c r="C362" s="1" t="s">
        <v>255</v>
      </c>
      <c r="D362" s="1" t="s">
        <v>256</v>
      </c>
      <c r="E362" s="1" t="s">
        <v>171</v>
      </c>
      <c r="F362" s="1">
        <v>96117</v>
      </c>
      <c r="G362" s="1" t="s">
        <v>257</v>
      </c>
      <c r="H362" s="77">
        <v>49954277350</v>
      </c>
      <c r="I362" s="77"/>
      <c r="J362" s="77"/>
      <c r="K362" s="60" t="s">
        <v>258</v>
      </c>
    </row>
    <row r="363" spans="2:11" ht="12.75">
      <c r="B363" s="43">
        <v>365</v>
      </c>
      <c r="C363" s="1" t="s">
        <v>259</v>
      </c>
      <c r="D363" s="1" t="s">
        <v>260</v>
      </c>
      <c r="E363" s="1" t="s">
        <v>171</v>
      </c>
      <c r="F363" s="1">
        <v>96117</v>
      </c>
      <c r="G363" s="1" t="s">
        <v>206</v>
      </c>
      <c r="H363" s="77"/>
      <c r="I363" s="77">
        <v>4915146668432</v>
      </c>
      <c r="J363" s="77"/>
      <c r="K363" s="60" t="s">
        <v>261</v>
      </c>
    </row>
    <row r="364" spans="2:11" ht="12.75">
      <c r="B364" s="43">
        <v>366</v>
      </c>
      <c r="C364" s="1" t="s">
        <v>262</v>
      </c>
      <c r="D364" s="1" t="s">
        <v>263</v>
      </c>
      <c r="E364" s="1" t="s">
        <v>171</v>
      </c>
      <c r="F364" s="43">
        <v>9385</v>
      </c>
      <c r="G364" s="1" t="s">
        <v>264</v>
      </c>
      <c r="H364" s="77"/>
      <c r="I364" s="77">
        <v>4917652629681</v>
      </c>
      <c r="J364" s="77"/>
      <c r="K364" s="60" t="s">
        <v>265</v>
      </c>
    </row>
    <row r="365" spans="2:11" ht="12.75">
      <c r="B365" s="43">
        <v>367</v>
      </c>
      <c r="C365" s="1" t="s">
        <v>266</v>
      </c>
      <c r="D365" s="1" t="s">
        <v>267</v>
      </c>
      <c r="E365" s="1" t="s">
        <v>171</v>
      </c>
      <c r="F365" s="45">
        <v>96149</v>
      </c>
      <c r="G365" s="1" t="s">
        <v>268</v>
      </c>
      <c r="H365" s="103" t="s">
        <v>269</v>
      </c>
      <c r="I365" s="77">
        <v>491709362777</v>
      </c>
      <c r="J365" s="77"/>
      <c r="K365" s="60" t="s">
        <v>270</v>
      </c>
    </row>
    <row r="366" spans="2:11" ht="12.75">
      <c r="B366" s="43">
        <v>368</v>
      </c>
      <c r="C366" s="1" t="s">
        <v>271</v>
      </c>
      <c r="D366" s="1" t="s">
        <v>272</v>
      </c>
      <c r="E366" s="1" t="s">
        <v>171</v>
      </c>
      <c r="F366" s="45">
        <v>96117</v>
      </c>
      <c r="G366" s="1" t="s">
        <v>181</v>
      </c>
      <c r="H366" s="103"/>
      <c r="I366" s="77">
        <v>4917624733063</v>
      </c>
      <c r="J366" s="77"/>
      <c r="K366" s="60" t="s">
        <v>273</v>
      </c>
    </row>
    <row r="367" spans="2:11" ht="12.75">
      <c r="B367" s="43">
        <v>369</v>
      </c>
      <c r="C367" s="1" t="s">
        <v>274</v>
      </c>
      <c r="D367" s="1" t="s">
        <v>275</v>
      </c>
      <c r="E367" s="1" t="s">
        <v>171</v>
      </c>
      <c r="F367" s="45">
        <v>96163</v>
      </c>
      <c r="G367" s="1" t="s">
        <v>276</v>
      </c>
      <c r="H367" s="104">
        <v>4995141528</v>
      </c>
      <c r="I367" s="77"/>
      <c r="J367" s="77"/>
      <c r="K367" s="60" t="s">
        <v>277</v>
      </c>
    </row>
    <row r="368" spans="2:11" ht="12.75">
      <c r="B368" s="43">
        <v>370</v>
      </c>
      <c r="C368" s="1" t="s">
        <v>278</v>
      </c>
      <c r="D368" s="1" t="s">
        <v>279</v>
      </c>
      <c r="E368" s="1" t="s">
        <v>171</v>
      </c>
      <c r="F368" s="1">
        <v>96129</v>
      </c>
      <c r="G368" s="1" t="s">
        <v>280</v>
      </c>
      <c r="H368" s="77"/>
      <c r="I368" s="77">
        <v>4915171024223</v>
      </c>
      <c r="J368" s="77"/>
      <c r="K368" s="60" t="s">
        <v>281</v>
      </c>
    </row>
    <row r="369" spans="2:11" ht="12.75">
      <c r="B369" s="43">
        <v>371</v>
      </c>
      <c r="C369" s="1" t="s">
        <v>282</v>
      </c>
      <c r="D369" s="78" t="s">
        <v>283</v>
      </c>
      <c r="E369" s="1" t="s">
        <v>171</v>
      </c>
      <c r="F369" s="1">
        <v>96117</v>
      </c>
      <c r="G369" s="1" t="s">
        <v>206</v>
      </c>
      <c r="H369" s="77"/>
      <c r="I369" s="105" t="s">
        <v>284</v>
      </c>
      <c r="J369" s="77"/>
      <c r="K369" s="60" t="s">
        <v>285</v>
      </c>
    </row>
    <row r="370" spans="2:11" ht="12.75">
      <c r="B370" s="43">
        <v>372</v>
      </c>
      <c r="C370" s="1" t="s">
        <v>286</v>
      </c>
      <c r="D370" s="1" t="s">
        <v>287</v>
      </c>
      <c r="E370" s="1" t="s">
        <v>171</v>
      </c>
      <c r="F370" s="1">
        <v>96117</v>
      </c>
      <c r="G370" s="1" t="s">
        <v>206</v>
      </c>
      <c r="H370" s="106">
        <v>4995118563550</v>
      </c>
      <c r="I370" s="77"/>
      <c r="J370" s="77"/>
      <c r="K370" s="87" t="s">
        <v>288</v>
      </c>
    </row>
    <row r="371" spans="2:11" ht="12.75">
      <c r="B371" s="43">
        <v>373</v>
      </c>
      <c r="C371" s="1" t="s">
        <v>289</v>
      </c>
      <c r="D371" s="1" t="s">
        <v>290</v>
      </c>
      <c r="E371" s="1" t="s">
        <v>180</v>
      </c>
      <c r="F371" s="1">
        <v>96117</v>
      </c>
      <c r="G371" s="1" t="s">
        <v>206</v>
      </c>
      <c r="H371" s="106"/>
      <c r="I371" s="77">
        <v>491733438718</v>
      </c>
      <c r="J371" s="77"/>
      <c r="K371" s="87" t="s">
        <v>291</v>
      </c>
    </row>
    <row r="372" spans="2:11" ht="12.75">
      <c r="B372" s="43">
        <v>374</v>
      </c>
      <c r="C372" s="1" t="s">
        <v>292</v>
      </c>
      <c r="D372" s="1" t="s">
        <v>293</v>
      </c>
      <c r="E372" s="1" t="s">
        <v>171</v>
      </c>
      <c r="F372" s="1">
        <v>96149</v>
      </c>
      <c r="G372" s="1" t="s">
        <v>268</v>
      </c>
      <c r="H372" s="106">
        <v>4995445693</v>
      </c>
      <c r="I372" s="77">
        <v>491716340458</v>
      </c>
      <c r="J372" s="77"/>
      <c r="K372" s="87" t="s">
        <v>294</v>
      </c>
    </row>
    <row r="373" spans="2:11" ht="12.75">
      <c r="B373" s="43">
        <v>375</v>
      </c>
      <c r="C373" s="1" t="s">
        <v>295</v>
      </c>
      <c r="D373" s="1" t="s">
        <v>296</v>
      </c>
      <c r="E373" s="1" t="s">
        <v>171</v>
      </c>
      <c r="F373" s="1">
        <v>96123</v>
      </c>
      <c r="G373" s="1" t="s">
        <v>297</v>
      </c>
      <c r="H373" s="106">
        <v>4995058946</v>
      </c>
      <c r="I373" s="107">
        <v>491607576796</v>
      </c>
      <c r="J373" s="77"/>
      <c r="K373" s="87" t="s">
        <v>298</v>
      </c>
    </row>
    <row r="374" spans="2:23" ht="12.75">
      <c r="B374" s="43">
        <v>376</v>
      </c>
      <c r="C374" s="1" t="s">
        <v>299</v>
      </c>
      <c r="D374" s="45" t="s">
        <v>300</v>
      </c>
      <c r="E374" s="1" t="s">
        <v>171</v>
      </c>
      <c r="F374" s="1">
        <v>96050</v>
      </c>
      <c r="G374" s="1" t="s">
        <v>172</v>
      </c>
      <c r="H374" s="106">
        <v>491728467498</v>
      </c>
      <c r="I374" s="77"/>
      <c r="J374" s="77"/>
      <c r="K374" s="87" t="s">
        <v>301</v>
      </c>
      <c r="P374" s="1" t="s">
        <v>302</v>
      </c>
      <c r="Q374" s="45" t="s">
        <v>303</v>
      </c>
      <c r="R374" s="1" t="s">
        <v>171</v>
      </c>
      <c r="S374" s="1">
        <v>96050</v>
      </c>
      <c r="T374" s="1" t="s">
        <v>172</v>
      </c>
      <c r="V374" s="106">
        <v>491728978093</v>
      </c>
      <c r="W374" s="60" t="s">
        <v>304</v>
      </c>
    </row>
    <row r="375" spans="2:11" ht="12.75">
      <c r="B375" s="43">
        <v>377</v>
      </c>
      <c r="C375" s="1" t="s">
        <v>305</v>
      </c>
      <c r="D375" s="1" t="s">
        <v>306</v>
      </c>
      <c r="E375" s="1" t="s">
        <v>171</v>
      </c>
      <c r="F375" s="1">
        <v>96049</v>
      </c>
      <c r="G375" s="1" t="s">
        <v>176</v>
      </c>
      <c r="H375" s="106"/>
      <c r="I375" s="77">
        <v>491713438231</v>
      </c>
      <c r="J375" s="77"/>
      <c r="K375" s="87" t="s">
        <v>307</v>
      </c>
    </row>
    <row r="376" spans="2:11" ht="12.75">
      <c r="B376" s="43">
        <v>378</v>
      </c>
      <c r="C376" s="1" t="s">
        <v>308</v>
      </c>
      <c r="D376" s="45" t="s">
        <v>309</v>
      </c>
      <c r="E376" s="1" t="s">
        <v>171</v>
      </c>
      <c r="F376" s="1">
        <v>96052</v>
      </c>
      <c r="G376" s="1" t="s">
        <v>172</v>
      </c>
      <c r="H376" s="77">
        <v>4995196430235</v>
      </c>
      <c r="I376" s="77"/>
      <c r="J376" s="77"/>
      <c r="K376" s="87" t="s">
        <v>310</v>
      </c>
    </row>
    <row r="377" spans="2:11" ht="12.75">
      <c r="B377" s="43">
        <v>379</v>
      </c>
      <c r="C377" s="1" t="s">
        <v>311</v>
      </c>
      <c r="D377" s="1" t="s">
        <v>312</v>
      </c>
      <c r="E377" s="1" t="s">
        <v>171</v>
      </c>
      <c r="F377" s="1">
        <v>96138</v>
      </c>
      <c r="G377" s="1" t="s">
        <v>313</v>
      </c>
      <c r="H377" s="106"/>
      <c r="I377" s="79">
        <v>4917645227882</v>
      </c>
      <c r="J377" s="77"/>
      <c r="K377" s="87" t="s">
        <v>314</v>
      </c>
    </row>
    <row r="378" spans="2:12" ht="12.75">
      <c r="B378" s="43">
        <v>380</v>
      </c>
      <c r="C378" s="1" t="s">
        <v>315</v>
      </c>
      <c r="D378" s="1" t="s">
        <v>316</v>
      </c>
      <c r="E378" s="1" t="s">
        <v>180</v>
      </c>
      <c r="F378" s="1">
        <v>96117</v>
      </c>
      <c r="G378" s="1" t="s">
        <v>241</v>
      </c>
      <c r="H378" s="106"/>
      <c r="I378" s="77">
        <v>491712384409</v>
      </c>
      <c r="J378" s="77"/>
      <c r="K378" s="87" t="s">
        <v>317</v>
      </c>
      <c r="L378" s="60" t="s">
        <v>318</v>
      </c>
    </row>
    <row r="379" spans="2:23" ht="12.75">
      <c r="B379" s="43">
        <v>381</v>
      </c>
      <c r="C379" s="1" t="s">
        <v>319</v>
      </c>
      <c r="D379" s="1" t="s">
        <v>320</v>
      </c>
      <c r="E379" s="1" t="s">
        <v>171</v>
      </c>
      <c r="F379" s="1">
        <v>96173</v>
      </c>
      <c r="G379" s="1" t="s">
        <v>321</v>
      </c>
      <c r="H379" s="106"/>
      <c r="I379" s="77"/>
      <c r="J379" s="77"/>
      <c r="K379" s="87"/>
      <c r="P379" s="1" t="s">
        <v>322</v>
      </c>
      <c r="V379" s="77">
        <v>491511224327</v>
      </c>
      <c r="W379" s="60" t="s">
        <v>323</v>
      </c>
    </row>
    <row r="380" spans="2:23" ht="12.75">
      <c r="B380" s="43">
        <v>382</v>
      </c>
      <c r="C380" s="1" t="s">
        <v>324</v>
      </c>
      <c r="H380" s="106"/>
      <c r="I380" s="77"/>
      <c r="J380" s="77"/>
      <c r="K380" s="87"/>
      <c r="V380" s="77"/>
      <c r="W380" s="60"/>
    </row>
    <row r="381" spans="2:23" ht="12.75">
      <c r="B381" s="43">
        <v>383</v>
      </c>
      <c r="C381" s="1" t="s">
        <v>325</v>
      </c>
      <c r="D381" s="1" t="s">
        <v>326</v>
      </c>
      <c r="E381" s="1" t="s">
        <v>171</v>
      </c>
      <c r="F381" s="1">
        <v>71034</v>
      </c>
      <c r="G381" s="1" t="s">
        <v>327</v>
      </c>
      <c r="H381" s="106">
        <v>4970316440</v>
      </c>
      <c r="I381" s="77"/>
      <c r="J381" s="77"/>
      <c r="K381" s="87" t="s">
        <v>328</v>
      </c>
      <c r="V381" s="77"/>
      <c r="W381" s="60"/>
    </row>
    <row r="382" spans="2:23" ht="12.75">
      <c r="B382" s="43">
        <v>384</v>
      </c>
      <c r="C382" s="45" t="s">
        <v>329</v>
      </c>
      <c r="D382" s="1" t="s">
        <v>330</v>
      </c>
      <c r="E382" s="1" t="s">
        <v>171</v>
      </c>
      <c r="F382" s="1">
        <v>10965</v>
      </c>
      <c r="G382" s="1" t="s">
        <v>331</v>
      </c>
      <c r="H382" s="106"/>
      <c r="I382" s="77"/>
      <c r="J382" s="77"/>
      <c r="K382" s="87" t="s">
        <v>332</v>
      </c>
      <c r="V382" s="77"/>
      <c r="W382" s="60"/>
    </row>
    <row r="383" spans="2:29" ht="12.75">
      <c r="B383" s="43">
        <v>385</v>
      </c>
      <c r="C383" s="45" t="s">
        <v>333</v>
      </c>
      <c r="D383" s="1" t="s">
        <v>334</v>
      </c>
      <c r="E383" s="1" t="s">
        <v>180</v>
      </c>
      <c r="F383" s="1">
        <v>96050</v>
      </c>
      <c r="G383" s="1" t="s">
        <v>172</v>
      </c>
      <c r="H383" s="106"/>
      <c r="I383" s="77">
        <v>491719327941</v>
      </c>
      <c r="J383" s="77"/>
      <c r="K383" s="87" t="s">
        <v>335</v>
      </c>
      <c r="V383" s="77"/>
      <c r="W383" s="60"/>
      <c r="Y383" s="1" t="s">
        <v>336</v>
      </c>
      <c r="Z383" s="1" t="s">
        <v>337</v>
      </c>
      <c r="AA383" s="1" t="s">
        <v>171</v>
      </c>
      <c r="AB383" s="1">
        <v>96117</v>
      </c>
      <c r="AC383" s="1" t="s">
        <v>206</v>
      </c>
    </row>
    <row r="384" spans="2:23" ht="12.75">
      <c r="B384" s="43">
        <v>386</v>
      </c>
      <c r="C384" s="45" t="s">
        <v>338</v>
      </c>
      <c r="D384" s="1" t="s">
        <v>339</v>
      </c>
      <c r="E384" s="1" t="s">
        <v>180</v>
      </c>
      <c r="F384" s="1">
        <v>96117</v>
      </c>
      <c r="G384" s="1" t="s">
        <v>340</v>
      </c>
      <c r="H384" s="106">
        <v>4995427741047</v>
      </c>
      <c r="I384" s="77">
        <v>4915774383776</v>
      </c>
      <c r="J384" s="77"/>
      <c r="K384" s="87" t="s">
        <v>341</v>
      </c>
      <c r="V384" s="77"/>
      <c r="W384" s="60"/>
    </row>
    <row r="385" spans="2:23" ht="12.75">
      <c r="B385" s="43">
        <v>387</v>
      </c>
      <c r="C385" s="45" t="s">
        <v>342</v>
      </c>
      <c r="D385" s="1" t="s">
        <v>343</v>
      </c>
      <c r="E385" s="1" t="s">
        <v>171</v>
      </c>
      <c r="F385" s="1">
        <v>96117</v>
      </c>
      <c r="G385" s="1" t="s">
        <v>344</v>
      </c>
      <c r="H385" s="106">
        <v>499505950114</v>
      </c>
      <c r="I385" s="77">
        <v>4915112281097</v>
      </c>
      <c r="J385" s="77"/>
      <c r="K385" s="87" t="s">
        <v>345</v>
      </c>
      <c r="N385" s="108" t="s">
        <v>346</v>
      </c>
      <c r="V385" s="77"/>
      <c r="W385" s="60"/>
    </row>
    <row r="386" spans="2:23" ht="12.75">
      <c r="B386" s="43">
        <v>388</v>
      </c>
      <c r="C386" s="45" t="s">
        <v>347</v>
      </c>
      <c r="D386" s="1" t="s">
        <v>348</v>
      </c>
      <c r="E386" s="1" t="s">
        <v>171</v>
      </c>
      <c r="F386" s="1">
        <v>96117</v>
      </c>
      <c r="G386" s="1" t="s">
        <v>206</v>
      </c>
      <c r="H386" s="106">
        <v>4995140960</v>
      </c>
      <c r="I386" s="77"/>
      <c r="J386" s="77"/>
      <c r="K386" s="87" t="s">
        <v>349</v>
      </c>
      <c r="L386" s="60" t="s">
        <v>350</v>
      </c>
      <c r="V386" s="77"/>
      <c r="W386" s="60"/>
    </row>
    <row r="387" spans="2:23" ht="12.75">
      <c r="B387" s="43">
        <v>389</v>
      </c>
      <c r="C387" s="45" t="s">
        <v>351</v>
      </c>
      <c r="D387" s="1" t="s">
        <v>352</v>
      </c>
      <c r="E387" s="1" t="s">
        <v>180</v>
      </c>
      <c r="F387" s="1">
        <v>96117</v>
      </c>
      <c r="G387" s="1" t="s">
        <v>206</v>
      </c>
      <c r="H387" s="106">
        <v>499517005859</v>
      </c>
      <c r="I387" s="77">
        <v>491714143450</v>
      </c>
      <c r="J387" s="77"/>
      <c r="K387" s="87" t="s">
        <v>353</v>
      </c>
      <c r="L387" s="60"/>
      <c r="V387" s="77"/>
      <c r="W387" s="60"/>
    </row>
    <row r="388" spans="2:23" ht="12.75">
      <c r="B388" s="43">
        <v>390</v>
      </c>
      <c r="C388" s="45" t="s">
        <v>354</v>
      </c>
      <c r="D388" s="1" t="s">
        <v>355</v>
      </c>
      <c r="E388" s="1" t="s">
        <v>180</v>
      </c>
      <c r="F388" s="1">
        <v>96117</v>
      </c>
      <c r="G388" s="1" t="s">
        <v>206</v>
      </c>
      <c r="H388" s="106"/>
      <c r="I388" s="77">
        <v>491703561417</v>
      </c>
      <c r="J388" s="77"/>
      <c r="K388" s="96" t="s">
        <v>356</v>
      </c>
      <c r="L388" s="60"/>
      <c r="V388" s="77"/>
      <c r="W388" s="60"/>
    </row>
    <row r="389" spans="2:23" ht="12.75">
      <c r="B389" s="43">
        <v>391</v>
      </c>
      <c r="C389" s="45" t="s">
        <v>357</v>
      </c>
      <c r="D389" s="78" t="s">
        <v>358</v>
      </c>
      <c r="E389" s="1" t="s">
        <v>171</v>
      </c>
      <c r="F389" s="1">
        <v>96047</v>
      </c>
      <c r="G389" s="1" t="s">
        <v>172</v>
      </c>
      <c r="H389" s="106"/>
      <c r="I389" s="77">
        <v>4915234387358</v>
      </c>
      <c r="J389" s="77"/>
      <c r="K389" s="96" t="s">
        <v>359</v>
      </c>
      <c r="L389" s="109"/>
      <c r="N389" s="60" t="s">
        <v>360</v>
      </c>
      <c r="V389" s="77"/>
      <c r="W389" s="60"/>
    </row>
    <row r="390" spans="2:23" ht="12.75">
      <c r="B390" s="43">
        <v>392</v>
      </c>
      <c r="C390" s="45" t="s">
        <v>361</v>
      </c>
      <c r="D390" s="1" t="s">
        <v>362</v>
      </c>
      <c r="E390" s="1" t="s">
        <v>171</v>
      </c>
      <c r="F390" s="1">
        <v>96129</v>
      </c>
      <c r="G390" s="1" t="s">
        <v>363</v>
      </c>
      <c r="H390" s="106">
        <v>4995056255</v>
      </c>
      <c r="I390" s="77">
        <v>491719327941</v>
      </c>
      <c r="J390" s="77"/>
      <c r="K390" s="96" t="s">
        <v>364</v>
      </c>
      <c r="L390" s="60"/>
      <c r="V390" s="77"/>
      <c r="W390" s="60"/>
    </row>
    <row r="391" spans="2:23" ht="12.75">
      <c r="B391" s="43">
        <v>393</v>
      </c>
      <c r="C391" s="45" t="s">
        <v>365</v>
      </c>
      <c r="D391" s="1" t="s">
        <v>366</v>
      </c>
      <c r="E391" s="1" t="s">
        <v>180</v>
      </c>
      <c r="F391" s="1">
        <v>96117</v>
      </c>
      <c r="G391" s="1" t="s">
        <v>367</v>
      </c>
      <c r="H391" s="106">
        <v>4995057810</v>
      </c>
      <c r="I391" s="77">
        <v>4915151925155</v>
      </c>
      <c r="J391" s="77"/>
      <c r="K391" s="96" t="s">
        <v>368</v>
      </c>
      <c r="L391" s="60"/>
      <c r="V391" s="77"/>
      <c r="W391" s="60"/>
    </row>
    <row r="392" spans="2:23" ht="12.75">
      <c r="B392" s="43">
        <v>394</v>
      </c>
      <c r="C392" s="45" t="s">
        <v>369</v>
      </c>
      <c r="D392" s="1" t="s">
        <v>370</v>
      </c>
      <c r="E392" s="1" t="s">
        <v>171</v>
      </c>
      <c r="F392" s="1">
        <v>96163</v>
      </c>
      <c r="G392" s="1" t="s">
        <v>276</v>
      </c>
      <c r="H392" s="106">
        <v>4995143338</v>
      </c>
      <c r="I392" s="77">
        <v>4917786745890</v>
      </c>
      <c r="J392" s="77"/>
      <c r="K392" s="96" t="s">
        <v>371</v>
      </c>
      <c r="L392" s="60"/>
      <c r="V392" s="77"/>
      <c r="W392" s="60"/>
    </row>
    <row r="393" spans="2:23" ht="12.75">
      <c r="B393" s="43">
        <v>395</v>
      </c>
      <c r="C393" s="45" t="s">
        <v>372</v>
      </c>
      <c r="D393" s="1" t="s">
        <v>373</v>
      </c>
      <c r="E393" s="1" t="s">
        <v>171</v>
      </c>
      <c r="F393" s="1">
        <v>96117</v>
      </c>
      <c r="G393" s="1" t="s">
        <v>185</v>
      </c>
      <c r="H393" s="106">
        <v>4995118534311</v>
      </c>
      <c r="I393" s="77">
        <v>4915222022250</v>
      </c>
      <c r="J393" s="77"/>
      <c r="K393" s="96" t="s">
        <v>374</v>
      </c>
      <c r="L393" s="60"/>
      <c r="V393" s="77"/>
      <c r="W393" s="60"/>
    </row>
    <row r="394" spans="2:23" ht="12.75">
      <c r="B394" s="43">
        <v>396</v>
      </c>
      <c r="C394" s="45" t="s">
        <v>375</v>
      </c>
      <c r="D394" s="1" t="s">
        <v>376</v>
      </c>
      <c r="E394" s="1" t="s">
        <v>180</v>
      </c>
      <c r="F394" s="1">
        <v>96117</v>
      </c>
      <c r="G394" s="1" t="s">
        <v>185</v>
      </c>
      <c r="H394" s="106"/>
      <c r="I394" s="77"/>
      <c r="J394" s="77"/>
      <c r="K394" s="96"/>
      <c r="L394" s="60"/>
      <c r="V394" s="77"/>
      <c r="W394" s="60"/>
    </row>
    <row r="395" spans="2:23" ht="12.75">
      <c r="B395" s="43">
        <v>397</v>
      </c>
      <c r="C395" s="45" t="s">
        <v>377</v>
      </c>
      <c r="D395" s="1" t="s">
        <v>378</v>
      </c>
      <c r="E395" s="1" t="s">
        <v>171</v>
      </c>
      <c r="F395" s="1">
        <v>47057</v>
      </c>
      <c r="G395" s="45" t="s">
        <v>379</v>
      </c>
      <c r="H395" s="106"/>
      <c r="I395" s="77"/>
      <c r="J395" s="77"/>
      <c r="K395" s="96"/>
      <c r="L395" s="60"/>
      <c r="V395" s="77"/>
      <c r="W395" s="60"/>
    </row>
    <row r="396" spans="2:23" ht="12.75">
      <c r="B396" s="43">
        <v>398</v>
      </c>
      <c r="C396" s="45" t="s">
        <v>380</v>
      </c>
      <c r="D396" s="45" t="s">
        <v>381</v>
      </c>
      <c r="E396" s="1" t="s">
        <v>171</v>
      </c>
      <c r="F396" s="1">
        <v>96123</v>
      </c>
      <c r="G396" s="45" t="s">
        <v>297</v>
      </c>
      <c r="H396" s="79">
        <v>499505805874</v>
      </c>
      <c r="I396" s="79">
        <v>4917651881596</v>
      </c>
      <c r="J396" s="77">
        <v>4917677217673</v>
      </c>
      <c r="K396" s="87" t="s">
        <v>382</v>
      </c>
      <c r="L396" s="60"/>
      <c r="V396" s="77"/>
      <c r="W396" s="60"/>
    </row>
    <row r="397" spans="2:23" ht="12.75">
      <c r="B397" s="43">
        <v>399</v>
      </c>
      <c r="C397" s="45" t="s">
        <v>383</v>
      </c>
      <c r="D397" s="1" t="s">
        <v>384</v>
      </c>
      <c r="E397" s="1" t="s">
        <v>171</v>
      </c>
      <c r="F397" s="1">
        <v>96052</v>
      </c>
      <c r="G397" s="45" t="s">
        <v>385</v>
      </c>
      <c r="H397" s="106">
        <v>4995197102030</v>
      </c>
      <c r="I397" s="77"/>
      <c r="J397" s="77"/>
      <c r="K397" s="96" t="s">
        <v>386</v>
      </c>
      <c r="L397" s="60"/>
      <c r="V397" s="77"/>
      <c r="W397" s="60"/>
    </row>
    <row r="398" spans="2:23" ht="12.75">
      <c r="B398" s="43">
        <v>400</v>
      </c>
      <c r="C398" s="45" t="s">
        <v>387</v>
      </c>
      <c r="D398" s="1" t="s">
        <v>388</v>
      </c>
      <c r="E398" s="1" t="s">
        <v>171</v>
      </c>
      <c r="F398" s="1">
        <v>96050</v>
      </c>
      <c r="G398" s="45" t="s">
        <v>172</v>
      </c>
      <c r="H398" s="106">
        <v>4995141319</v>
      </c>
      <c r="I398" s="79">
        <v>4915126003597</v>
      </c>
      <c r="J398" s="77"/>
      <c r="K398" s="96" t="s">
        <v>389</v>
      </c>
      <c r="L398" s="60"/>
      <c r="V398" s="77"/>
      <c r="W398" s="60"/>
    </row>
    <row r="399" spans="2:23" ht="12.75">
      <c r="B399" s="43">
        <v>401</v>
      </c>
      <c r="C399" s="45" t="s">
        <v>390</v>
      </c>
      <c r="D399" s="1" t="s">
        <v>391</v>
      </c>
      <c r="E399" s="1" t="s">
        <v>171</v>
      </c>
      <c r="F399" s="1">
        <v>96117</v>
      </c>
      <c r="G399" s="45" t="s">
        <v>196</v>
      </c>
      <c r="H399" s="106">
        <v>499512836971</v>
      </c>
      <c r="I399" s="79">
        <v>4915259089604</v>
      </c>
      <c r="J399" s="77"/>
      <c r="K399" s="96" t="s">
        <v>392</v>
      </c>
      <c r="L399" s="60"/>
      <c r="V399" s="77"/>
      <c r="W399" s="60"/>
    </row>
    <row r="400" spans="2:23" ht="12.75">
      <c r="B400" s="43">
        <v>402</v>
      </c>
      <c r="C400" s="45" t="s">
        <v>393</v>
      </c>
      <c r="D400" s="1" t="s">
        <v>394</v>
      </c>
      <c r="E400" s="1" t="s">
        <v>171</v>
      </c>
      <c r="F400" s="1">
        <v>93173</v>
      </c>
      <c r="G400" s="45" t="s">
        <v>395</v>
      </c>
      <c r="H400" s="106">
        <v>49940790913</v>
      </c>
      <c r="I400" s="79">
        <v>491713636747</v>
      </c>
      <c r="J400" s="77"/>
      <c r="K400" s="96" t="s">
        <v>396</v>
      </c>
      <c r="L400" s="60"/>
      <c r="V400" s="77"/>
      <c r="W400" s="60"/>
    </row>
    <row r="401" spans="2:24" ht="12.75">
      <c r="B401" s="43">
        <v>403</v>
      </c>
      <c r="C401" s="45" t="s">
        <v>397</v>
      </c>
      <c r="D401" s="1" t="s">
        <v>398</v>
      </c>
      <c r="E401" s="1" t="s">
        <v>171</v>
      </c>
      <c r="F401" s="1">
        <v>96117</v>
      </c>
      <c r="G401" s="45" t="s">
        <v>206</v>
      </c>
      <c r="H401" s="106">
        <v>4995144636</v>
      </c>
      <c r="I401" s="79"/>
      <c r="J401" s="77"/>
      <c r="K401" s="96" t="s">
        <v>399</v>
      </c>
      <c r="L401" s="60"/>
      <c r="N401" s="60" t="s">
        <v>400</v>
      </c>
      <c r="O401" s="77">
        <v>4995144874</v>
      </c>
      <c r="V401" s="77"/>
      <c r="W401" s="60"/>
      <c r="X401" s="1" t="s">
        <v>401</v>
      </c>
    </row>
    <row r="402" spans="2:23" ht="12.75">
      <c r="B402" s="43">
        <v>404</v>
      </c>
      <c r="C402" s="45" t="s">
        <v>402</v>
      </c>
      <c r="D402" s="1" t="s">
        <v>403</v>
      </c>
      <c r="E402" s="1" t="s">
        <v>171</v>
      </c>
      <c r="F402" s="1">
        <v>96110</v>
      </c>
      <c r="G402" s="45" t="s">
        <v>404</v>
      </c>
      <c r="H402" s="106">
        <v>499542771698</v>
      </c>
      <c r="I402" s="79">
        <v>4915164543009</v>
      </c>
      <c r="J402" s="77"/>
      <c r="K402" s="96" t="s">
        <v>405</v>
      </c>
      <c r="L402" s="60"/>
      <c r="V402" s="77"/>
      <c r="W402" s="60"/>
    </row>
    <row r="403" spans="2:23" ht="12.75">
      <c r="B403" s="43">
        <v>405</v>
      </c>
      <c r="C403" s="45" t="s">
        <v>406</v>
      </c>
      <c r="D403" s="1" t="s">
        <v>407</v>
      </c>
      <c r="E403" s="1" t="s">
        <v>171</v>
      </c>
      <c r="F403" s="1">
        <v>96117</v>
      </c>
      <c r="G403" s="1" t="s">
        <v>206</v>
      </c>
      <c r="H403" s="106"/>
      <c r="I403" s="77">
        <v>491791300712</v>
      </c>
      <c r="J403" s="77"/>
      <c r="K403" s="110" t="s">
        <v>408</v>
      </c>
      <c r="L403" s="60"/>
      <c r="V403" s="77"/>
      <c r="W403" s="60"/>
    </row>
    <row r="404" spans="2:23" ht="12.75">
      <c r="B404" s="43">
        <v>406</v>
      </c>
      <c r="C404" s="45" t="s">
        <v>409</v>
      </c>
      <c r="D404" s="1" t="s">
        <v>410</v>
      </c>
      <c r="E404" s="1" t="s">
        <v>171</v>
      </c>
      <c r="F404" s="1">
        <v>96117</v>
      </c>
      <c r="G404" s="1" t="s">
        <v>206</v>
      </c>
      <c r="H404" s="106">
        <v>4995197100060</v>
      </c>
      <c r="I404" s="77">
        <v>4915161204180</v>
      </c>
      <c r="J404" s="77"/>
      <c r="K404" s="87" t="s">
        <v>411</v>
      </c>
      <c r="L404" s="60"/>
      <c r="V404" s="77"/>
      <c r="W404" s="60"/>
    </row>
    <row r="405" spans="2:23" ht="12.75">
      <c r="B405" s="43">
        <v>407</v>
      </c>
      <c r="C405" s="45" t="s">
        <v>412</v>
      </c>
      <c r="D405" s="1" t="s">
        <v>413</v>
      </c>
      <c r="E405" s="1" t="s">
        <v>171</v>
      </c>
      <c r="F405" s="1">
        <v>96117</v>
      </c>
      <c r="G405" s="1" t="s">
        <v>206</v>
      </c>
      <c r="H405" s="106">
        <v>4995142196</v>
      </c>
      <c r="I405" s="79">
        <v>491704763664</v>
      </c>
      <c r="J405" s="77"/>
      <c r="K405" s="87" t="s">
        <v>414</v>
      </c>
      <c r="L405" s="60"/>
      <c r="V405" s="77"/>
      <c r="W405" s="60"/>
    </row>
    <row r="406" spans="2:23" ht="12.75">
      <c r="B406" s="43">
        <v>408</v>
      </c>
      <c r="C406" s="45"/>
      <c r="H406" s="106"/>
      <c r="I406" s="77"/>
      <c r="J406" s="77"/>
      <c r="K406" s="110"/>
      <c r="L406" s="60"/>
      <c r="V406" s="77"/>
      <c r="W406" s="60"/>
    </row>
    <row r="407" spans="2:23" ht="12.75">
      <c r="B407" s="43">
        <v>409</v>
      </c>
      <c r="C407" s="45" t="s">
        <v>415</v>
      </c>
      <c r="D407" s="1" t="s">
        <v>416</v>
      </c>
      <c r="E407" s="1" t="s">
        <v>180</v>
      </c>
      <c r="F407" s="1">
        <v>96117</v>
      </c>
      <c r="G407" s="1" t="s">
        <v>417</v>
      </c>
      <c r="H407" s="106"/>
      <c r="I407" s="77">
        <v>4915225870163</v>
      </c>
      <c r="J407" s="77"/>
      <c r="K407" s="111" t="s">
        <v>418</v>
      </c>
      <c r="L407" s="60"/>
      <c r="V407" s="77"/>
      <c r="W407" s="60"/>
    </row>
    <row r="408" spans="2:23" ht="12.75">
      <c r="B408" s="43">
        <v>410</v>
      </c>
      <c r="C408" s="45" t="s">
        <v>419</v>
      </c>
      <c r="D408" s="1" t="s">
        <v>420</v>
      </c>
      <c r="E408" s="1" t="s">
        <v>171</v>
      </c>
      <c r="F408" s="1">
        <v>96117</v>
      </c>
      <c r="G408" s="1" t="s">
        <v>206</v>
      </c>
      <c r="H408" s="106"/>
      <c r="I408" s="77"/>
      <c r="J408" s="77"/>
      <c r="K408" s="87"/>
      <c r="L408" s="60"/>
      <c r="V408" s="77"/>
      <c r="W408" s="60"/>
    </row>
    <row r="409" spans="2:23" ht="12.75">
      <c r="B409" s="43">
        <v>411</v>
      </c>
      <c r="C409" s="45" t="s">
        <v>421</v>
      </c>
      <c r="D409" s="1" t="s">
        <v>422</v>
      </c>
      <c r="E409" s="1" t="s">
        <v>171</v>
      </c>
      <c r="F409" s="1">
        <v>20099</v>
      </c>
      <c r="G409" s="1" t="s">
        <v>423</v>
      </c>
      <c r="H409" s="106"/>
      <c r="I409" s="77"/>
      <c r="J409" s="77"/>
      <c r="K409" s="87" t="s">
        <v>424</v>
      </c>
      <c r="L409" s="60" t="s">
        <v>425</v>
      </c>
      <c r="V409" s="77"/>
      <c r="W409" s="60"/>
    </row>
    <row r="410" spans="2:23" ht="12.75">
      <c r="B410" s="43">
        <v>412</v>
      </c>
      <c r="C410" s="45" t="s">
        <v>426</v>
      </c>
      <c r="E410" s="1" t="s">
        <v>171</v>
      </c>
      <c r="G410" s="1" t="s">
        <v>172</v>
      </c>
      <c r="H410" s="106"/>
      <c r="I410" s="77">
        <v>491717742326</v>
      </c>
      <c r="J410" s="77"/>
      <c r="K410" s="87" t="s">
        <v>427</v>
      </c>
      <c r="L410" s="60"/>
      <c r="V410" s="77"/>
      <c r="W410" s="60"/>
    </row>
    <row r="411" spans="2:23" ht="12.75">
      <c r="B411" s="43">
        <v>413</v>
      </c>
      <c r="C411" s="45" t="s">
        <v>428</v>
      </c>
      <c r="D411" s="1" t="s">
        <v>429</v>
      </c>
      <c r="E411" s="1" t="s">
        <v>171</v>
      </c>
      <c r="F411" s="1">
        <v>96110</v>
      </c>
      <c r="G411" s="1" t="s">
        <v>430</v>
      </c>
      <c r="H411" s="106">
        <v>4995427737030</v>
      </c>
      <c r="I411" s="77">
        <v>491717179767</v>
      </c>
      <c r="J411" s="77"/>
      <c r="K411" s="87" t="s">
        <v>431</v>
      </c>
      <c r="L411" s="60"/>
      <c r="V411" s="77"/>
      <c r="W411" s="60"/>
    </row>
    <row r="412" spans="2:23" ht="12.75">
      <c r="B412" s="43">
        <v>414</v>
      </c>
      <c r="C412" s="45" t="s">
        <v>432</v>
      </c>
      <c r="D412" s="1" t="s">
        <v>190</v>
      </c>
      <c r="E412" s="1" t="s">
        <v>171</v>
      </c>
      <c r="F412" s="1">
        <v>91352</v>
      </c>
      <c r="G412" s="1" t="s">
        <v>191</v>
      </c>
      <c r="H412" s="106"/>
      <c r="I412" s="77">
        <v>4917676662828</v>
      </c>
      <c r="J412" s="77"/>
      <c r="K412" s="87" t="s">
        <v>433</v>
      </c>
      <c r="L412" s="60"/>
      <c r="V412" s="77"/>
      <c r="W412" s="60"/>
    </row>
    <row r="413" spans="2:23" ht="12.75">
      <c r="B413" s="43">
        <v>415</v>
      </c>
      <c r="C413" s="45" t="s">
        <v>434</v>
      </c>
      <c r="E413" s="1" t="s">
        <v>171</v>
      </c>
      <c r="H413" s="106"/>
      <c r="I413" s="77">
        <v>4917622920009</v>
      </c>
      <c r="J413" s="77"/>
      <c r="K413" s="87" t="s">
        <v>435</v>
      </c>
      <c r="L413" s="60"/>
      <c r="V413" s="77"/>
      <c r="W413" s="60"/>
    </row>
    <row r="414" spans="2:23" ht="12.75">
      <c r="B414" s="43">
        <v>416</v>
      </c>
      <c r="C414" s="45" t="s">
        <v>436</v>
      </c>
      <c r="D414" s="1" t="s">
        <v>437</v>
      </c>
      <c r="E414" s="1" t="s">
        <v>171</v>
      </c>
      <c r="F414" s="1">
        <v>96117</v>
      </c>
      <c r="G414" s="1" t="s">
        <v>206</v>
      </c>
      <c r="H414" s="112">
        <v>499515009280</v>
      </c>
      <c r="I414" s="77"/>
      <c r="J414" s="77"/>
      <c r="K414" s="87" t="s">
        <v>438</v>
      </c>
      <c r="L414" s="60"/>
      <c r="V414" s="77"/>
      <c r="W414" s="60"/>
    </row>
    <row r="415" spans="2:23" ht="12.75">
      <c r="B415" s="43">
        <v>417</v>
      </c>
      <c r="C415" s="45" t="s">
        <v>439</v>
      </c>
      <c r="D415" s="1" t="s">
        <v>440</v>
      </c>
      <c r="E415" s="1" t="s">
        <v>171</v>
      </c>
      <c r="F415" s="1">
        <v>96117</v>
      </c>
      <c r="G415" s="1" t="s">
        <v>441</v>
      </c>
      <c r="H415" s="106"/>
      <c r="I415" s="77">
        <v>491703173400</v>
      </c>
      <c r="J415" s="77"/>
      <c r="K415" s="113" t="s">
        <v>442</v>
      </c>
      <c r="L415" s="60"/>
      <c r="V415" s="77"/>
      <c r="W415" s="60"/>
    </row>
    <row r="416" spans="2:23" ht="12.75">
      <c r="B416" s="43">
        <v>418</v>
      </c>
      <c r="C416" s="45" t="s">
        <v>443</v>
      </c>
      <c r="D416" s="1" t="s">
        <v>444</v>
      </c>
      <c r="E416" s="1" t="s">
        <v>171</v>
      </c>
      <c r="F416" s="1">
        <v>96117</v>
      </c>
      <c r="G416" s="1" t="s">
        <v>206</v>
      </c>
      <c r="H416" s="106">
        <v>4995142494</v>
      </c>
      <c r="I416" s="77">
        <v>491743232629</v>
      </c>
      <c r="J416" s="77"/>
      <c r="K416" s="113" t="s">
        <v>445</v>
      </c>
      <c r="L416" s="60"/>
      <c r="V416" s="77"/>
      <c r="W416" s="60"/>
    </row>
    <row r="417" spans="2:23" ht="12.75">
      <c r="B417" s="43">
        <v>419</v>
      </c>
      <c r="C417" s="45" t="s">
        <v>446</v>
      </c>
      <c r="D417" s="1" t="s">
        <v>444</v>
      </c>
      <c r="E417" s="1" t="s">
        <v>171</v>
      </c>
      <c r="F417" s="1">
        <v>96117</v>
      </c>
      <c r="G417" s="1" t="s">
        <v>206</v>
      </c>
      <c r="H417" s="106">
        <v>4995142494</v>
      </c>
      <c r="I417" s="77">
        <v>4915906195342</v>
      </c>
      <c r="J417" s="77"/>
      <c r="K417" s="113" t="s">
        <v>447</v>
      </c>
      <c r="L417" s="60"/>
      <c r="V417" s="77"/>
      <c r="W417" s="60"/>
    </row>
    <row r="418" spans="2:23" ht="12.75">
      <c r="B418" s="43">
        <v>420</v>
      </c>
      <c r="C418" s="45" t="s">
        <v>448</v>
      </c>
      <c r="D418" s="1" t="s">
        <v>449</v>
      </c>
      <c r="E418" s="1" t="s">
        <v>171</v>
      </c>
      <c r="F418" s="1">
        <v>96117</v>
      </c>
      <c r="G418" s="1" t="s">
        <v>417</v>
      </c>
      <c r="H418" s="106"/>
      <c r="I418" s="77">
        <v>4915237929559</v>
      </c>
      <c r="J418" s="77"/>
      <c r="K418" s="113" t="s">
        <v>450</v>
      </c>
      <c r="L418" s="60"/>
      <c r="V418" s="77"/>
      <c r="W418" s="60"/>
    </row>
    <row r="419" spans="2:23" ht="12.75">
      <c r="B419" s="43">
        <v>421</v>
      </c>
      <c r="C419" s="45" t="s">
        <v>451</v>
      </c>
      <c r="D419" s="1" t="s">
        <v>452</v>
      </c>
      <c r="E419" s="1" t="s">
        <v>171</v>
      </c>
      <c r="F419" s="1">
        <v>96117</v>
      </c>
      <c r="G419" s="1" t="s">
        <v>206</v>
      </c>
      <c r="H419" s="106">
        <v>4995170057276</v>
      </c>
      <c r="I419" s="77">
        <v>491602924313</v>
      </c>
      <c r="J419" s="77"/>
      <c r="K419" s="113" t="s">
        <v>453</v>
      </c>
      <c r="L419" s="60"/>
      <c r="V419" s="77"/>
      <c r="W419" s="60"/>
    </row>
    <row r="420" spans="2:23" ht="12.75">
      <c r="B420" s="43">
        <v>422</v>
      </c>
      <c r="C420" s="45" t="s">
        <v>454</v>
      </c>
      <c r="D420" s="1" t="s">
        <v>455</v>
      </c>
      <c r="E420" s="1" t="s">
        <v>171</v>
      </c>
      <c r="F420" s="1">
        <v>96117</v>
      </c>
      <c r="G420" s="1" t="s">
        <v>206</v>
      </c>
      <c r="H420" s="106"/>
      <c r="I420" s="77">
        <v>4915209945014</v>
      </c>
      <c r="J420" s="77"/>
      <c r="K420" s="113" t="s">
        <v>456</v>
      </c>
      <c r="L420" s="60"/>
      <c r="V420" s="77"/>
      <c r="W420" s="60"/>
    </row>
    <row r="421" spans="2:23" ht="12.75">
      <c r="B421" s="43">
        <v>423</v>
      </c>
      <c r="C421" s="45" t="s">
        <v>457</v>
      </c>
      <c r="D421" s="1" t="s">
        <v>458</v>
      </c>
      <c r="E421" s="1" t="s">
        <v>171</v>
      </c>
      <c r="F421" s="1">
        <v>96117</v>
      </c>
      <c r="G421" s="1" t="s">
        <v>206</v>
      </c>
      <c r="H421" s="106"/>
      <c r="I421" s="77">
        <v>4915226046248</v>
      </c>
      <c r="J421" s="77"/>
      <c r="K421" s="113" t="s">
        <v>459</v>
      </c>
      <c r="L421" s="60"/>
      <c r="V421" s="77"/>
      <c r="W421" s="60"/>
    </row>
    <row r="422" spans="2:24" ht="12.75">
      <c r="B422" s="43">
        <v>424</v>
      </c>
      <c r="C422" s="45" t="s">
        <v>460</v>
      </c>
      <c r="D422" s="45" t="s">
        <v>461</v>
      </c>
      <c r="E422" s="1" t="s">
        <v>171</v>
      </c>
      <c r="F422" s="1">
        <v>93077</v>
      </c>
      <c r="G422" s="1" t="s">
        <v>462</v>
      </c>
      <c r="H422" s="106">
        <v>499405918400</v>
      </c>
      <c r="I422" s="77"/>
      <c r="J422" s="77"/>
      <c r="K422" s="113" t="s">
        <v>463</v>
      </c>
      <c r="L422" s="60"/>
      <c r="V422" s="77">
        <v>4917662497022</v>
      </c>
      <c r="W422" s="60"/>
      <c r="X422" s="1" t="s">
        <v>464</v>
      </c>
    </row>
    <row r="423" spans="2:23" ht="12.75">
      <c r="B423" s="43">
        <v>425</v>
      </c>
      <c r="C423" s="45" t="s">
        <v>465</v>
      </c>
      <c r="D423" s="1" t="s">
        <v>466</v>
      </c>
      <c r="E423" s="1" t="s">
        <v>171</v>
      </c>
      <c r="F423" s="1">
        <v>96117</v>
      </c>
      <c r="G423" s="1" t="s">
        <v>417</v>
      </c>
      <c r="H423" s="106"/>
      <c r="I423" s="77">
        <v>4915783680721</v>
      </c>
      <c r="J423" s="77"/>
      <c r="K423" s="113" t="s">
        <v>467</v>
      </c>
      <c r="L423" s="60"/>
      <c r="V423" s="77"/>
      <c r="W423" s="60"/>
    </row>
    <row r="424" spans="2:23" ht="12.75">
      <c r="B424" s="43">
        <v>426</v>
      </c>
      <c r="C424" s="45" t="s">
        <v>468</v>
      </c>
      <c r="D424" s="1" t="s">
        <v>469</v>
      </c>
      <c r="E424" s="1" t="s">
        <v>171</v>
      </c>
      <c r="F424" s="1">
        <v>96117</v>
      </c>
      <c r="G424" s="1" t="s">
        <v>206</v>
      </c>
      <c r="H424" s="106">
        <v>4917692420220</v>
      </c>
      <c r="I424" s="77"/>
      <c r="J424" s="77"/>
      <c r="K424" s="113" t="s">
        <v>470</v>
      </c>
      <c r="L424" s="60"/>
      <c r="V424" s="77"/>
      <c r="W424" s="60"/>
    </row>
    <row r="425" spans="2:23" ht="12.75">
      <c r="B425" s="43">
        <v>427</v>
      </c>
      <c r="C425" s="45" t="s">
        <v>471</v>
      </c>
      <c r="D425" s="1" t="s">
        <v>472</v>
      </c>
      <c r="E425" s="1" t="s">
        <v>171</v>
      </c>
      <c r="F425" s="1">
        <v>12305</v>
      </c>
      <c r="G425" s="1" t="s">
        <v>331</v>
      </c>
      <c r="H425"/>
      <c r="I425" s="106">
        <v>4915253496667</v>
      </c>
      <c r="J425" s="77"/>
      <c r="K425" s="113" t="s">
        <v>473</v>
      </c>
      <c r="L425" s="60"/>
      <c r="V425" s="77"/>
      <c r="W425" s="60"/>
    </row>
    <row r="426" spans="2:23" ht="12.75">
      <c r="B426" s="43">
        <v>428</v>
      </c>
      <c r="C426" s="45" t="s">
        <v>474</v>
      </c>
      <c r="D426" s="1" t="s">
        <v>475</v>
      </c>
      <c r="E426" s="1" t="s">
        <v>171</v>
      </c>
      <c r="F426" s="1">
        <v>96117</v>
      </c>
      <c r="G426" s="1" t="s">
        <v>344</v>
      </c>
      <c r="H426" s="106"/>
      <c r="I426" s="77">
        <v>491743909430</v>
      </c>
      <c r="J426" s="77"/>
      <c r="K426" s="114" t="s">
        <v>476</v>
      </c>
      <c r="L426" s="60"/>
      <c r="V426" s="77"/>
      <c r="W426" s="60"/>
    </row>
    <row r="427" spans="2:23" ht="12.75">
      <c r="B427" s="43">
        <v>429</v>
      </c>
      <c r="C427" s="45" t="s">
        <v>477</v>
      </c>
      <c r="D427" s="1" t="s">
        <v>478</v>
      </c>
      <c r="E427" s="1" t="s">
        <v>171</v>
      </c>
      <c r="F427" s="1">
        <v>96050</v>
      </c>
      <c r="G427" s="1" t="s">
        <v>172</v>
      </c>
      <c r="H427" s="106"/>
      <c r="I427" s="77">
        <v>4916090500289</v>
      </c>
      <c r="J427" s="77"/>
      <c r="K427" s="113" t="s">
        <v>479</v>
      </c>
      <c r="L427" s="60" t="s">
        <v>480</v>
      </c>
      <c r="N427" s="60" t="s">
        <v>481</v>
      </c>
      <c r="V427" s="77"/>
      <c r="W427" s="60"/>
    </row>
    <row r="428" spans="2:23" ht="12.75">
      <c r="B428" s="43">
        <v>430</v>
      </c>
      <c r="C428" s="45" t="s">
        <v>482</v>
      </c>
      <c r="E428" s="1" t="s">
        <v>171</v>
      </c>
      <c r="F428" s="1">
        <v>96117</v>
      </c>
      <c r="G428" s="1" t="s">
        <v>196</v>
      </c>
      <c r="H428" s="106"/>
      <c r="I428" s="77">
        <v>4917674799816</v>
      </c>
      <c r="J428" s="77"/>
      <c r="K428" s="113"/>
      <c r="L428" s="60"/>
      <c r="V428" s="77"/>
      <c r="W428" s="60"/>
    </row>
    <row r="429" spans="2:23" ht="12.75">
      <c r="B429" s="43">
        <v>431</v>
      </c>
      <c r="C429" s="45" t="s">
        <v>483</v>
      </c>
      <c r="D429" s="1" t="s">
        <v>484</v>
      </c>
      <c r="E429" s="1" t="s">
        <v>171</v>
      </c>
      <c r="F429" s="1">
        <v>96117</v>
      </c>
      <c r="G429" s="1" t="s">
        <v>206</v>
      </c>
      <c r="H429" s="106"/>
      <c r="I429" s="77">
        <v>4915142850787</v>
      </c>
      <c r="J429" s="77"/>
      <c r="K429" s="113" t="s">
        <v>485</v>
      </c>
      <c r="L429" s="60"/>
      <c r="V429" s="77"/>
      <c r="W429" s="60"/>
    </row>
    <row r="430" spans="2:23" ht="12.75">
      <c r="B430" s="43">
        <v>432</v>
      </c>
      <c r="C430" s="45" t="s">
        <v>486</v>
      </c>
      <c r="D430" s="1" t="s">
        <v>487</v>
      </c>
      <c r="E430" s="1" t="s">
        <v>171</v>
      </c>
      <c r="F430" s="1">
        <v>96117</v>
      </c>
      <c r="G430" s="1" t="s">
        <v>206</v>
      </c>
      <c r="H430" s="106"/>
      <c r="I430" s="77">
        <v>491632227931</v>
      </c>
      <c r="J430" s="77"/>
      <c r="K430" s="113" t="s">
        <v>488</v>
      </c>
      <c r="L430" s="60"/>
      <c r="V430" s="77"/>
      <c r="W430" s="60"/>
    </row>
    <row r="431" spans="2:23" ht="12.75">
      <c r="B431" s="43">
        <v>433</v>
      </c>
      <c r="C431" s="45" t="s">
        <v>489</v>
      </c>
      <c r="E431" s="1" t="s">
        <v>171</v>
      </c>
      <c r="H431" s="106"/>
      <c r="I431" s="77">
        <v>4917690978443</v>
      </c>
      <c r="J431" s="77"/>
      <c r="K431" s="113" t="s">
        <v>490</v>
      </c>
      <c r="L431" s="60"/>
      <c r="V431" s="77"/>
      <c r="W431" s="60"/>
    </row>
    <row r="432" spans="2:23" ht="12.75">
      <c r="B432" s="43">
        <v>434</v>
      </c>
      <c r="C432" s="45" t="s">
        <v>491</v>
      </c>
      <c r="D432" s="1" t="s">
        <v>492</v>
      </c>
      <c r="E432" s="1" t="s">
        <v>171</v>
      </c>
      <c r="F432" s="1">
        <v>96199</v>
      </c>
      <c r="G432" s="1" t="s">
        <v>493</v>
      </c>
      <c r="H432" s="112">
        <v>499547873872</v>
      </c>
      <c r="I432" s="77"/>
      <c r="J432" s="77"/>
      <c r="K432" s="115" t="s">
        <v>494</v>
      </c>
      <c r="L432" s="60"/>
      <c r="V432" s="77"/>
      <c r="W432" s="60"/>
    </row>
    <row r="433" spans="2:23" ht="12.75">
      <c r="B433" s="43">
        <v>435</v>
      </c>
      <c r="C433" s="45" t="s">
        <v>495</v>
      </c>
      <c r="E433" s="1" t="s">
        <v>171</v>
      </c>
      <c r="F433" s="1">
        <v>96117</v>
      </c>
      <c r="G433" s="1" t="s">
        <v>344</v>
      </c>
      <c r="H433" s="106"/>
      <c r="I433" s="77">
        <v>491711735473</v>
      </c>
      <c r="J433" s="77"/>
      <c r="K433" s="113" t="s">
        <v>496</v>
      </c>
      <c r="L433" s="60"/>
      <c r="V433" s="77"/>
      <c r="W433" s="60"/>
    </row>
    <row r="434" spans="2:23" ht="12.75">
      <c r="B434" s="43"/>
      <c r="C434" s="45"/>
      <c r="H434" s="106"/>
      <c r="I434" s="77"/>
      <c r="J434" s="77"/>
      <c r="K434" s="113"/>
      <c r="L434" s="60"/>
      <c r="V434" s="77"/>
      <c r="W434" s="60"/>
    </row>
    <row r="435" spans="2:23" ht="12.75">
      <c r="B435" s="43"/>
      <c r="C435" s="45"/>
      <c r="H435" s="106"/>
      <c r="I435" s="77"/>
      <c r="J435" s="77"/>
      <c r="K435" s="113"/>
      <c r="L435" s="60"/>
      <c r="V435" s="77"/>
      <c r="W435" s="60"/>
    </row>
    <row r="436" spans="2:23" ht="12.75">
      <c r="B436" s="43"/>
      <c r="C436" s="45"/>
      <c r="H436" s="106"/>
      <c r="I436" s="77"/>
      <c r="J436" s="77"/>
      <c r="K436" s="113"/>
      <c r="L436" s="60"/>
      <c r="V436" s="77"/>
      <c r="W436" s="60"/>
    </row>
    <row r="437" spans="2:23" ht="12.75">
      <c r="B437" s="43"/>
      <c r="C437" s="45"/>
      <c r="H437" s="106"/>
      <c r="I437" s="77"/>
      <c r="J437" s="77"/>
      <c r="K437" s="113"/>
      <c r="L437" s="60"/>
      <c r="V437" s="77"/>
      <c r="W437" s="60"/>
    </row>
    <row r="438" spans="2:23" ht="12.75">
      <c r="B438" s="43"/>
      <c r="C438" s="45"/>
      <c r="H438" s="106"/>
      <c r="I438" s="77"/>
      <c r="J438" s="77"/>
      <c r="K438" s="113"/>
      <c r="L438" s="60"/>
      <c r="V438" s="77"/>
      <c r="W438" s="60"/>
    </row>
    <row r="439" spans="2:23" ht="12.75">
      <c r="B439" s="43"/>
      <c r="C439" s="45"/>
      <c r="H439" s="106"/>
      <c r="I439" s="77"/>
      <c r="J439" s="77"/>
      <c r="K439" s="113"/>
      <c r="L439" s="60"/>
      <c r="V439" s="77"/>
      <c r="W439" s="60"/>
    </row>
    <row r="440" spans="2:23" ht="12.75">
      <c r="B440" s="43"/>
      <c r="C440" s="45"/>
      <c r="H440" s="106"/>
      <c r="I440" s="77"/>
      <c r="J440" s="77"/>
      <c r="K440" s="113"/>
      <c r="L440" s="60"/>
      <c r="V440" s="77"/>
      <c r="W440" s="60"/>
    </row>
    <row r="441" spans="2:9" ht="12.75">
      <c r="B441" s="43">
        <v>9999</v>
      </c>
      <c r="C441" s="1" t="s">
        <v>497</v>
      </c>
      <c r="H441" s="77"/>
      <c r="I441" s="77"/>
    </row>
    <row r="442" spans="2:9" ht="12.75">
      <c r="B442" s="43"/>
      <c r="H442" s="77"/>
      <c r="I442" s="77"/>
    </row>
    <row r="443" spans="8:9" ht="12.75">
      <c r="H443" s="77"/>
      <c r="I443" s="77"/>
    </row>
    <row r="444" spans="2:9" ht="12.75">
      <c r="B444" s="1">
        <v>91522</v>
      </c>
      <c r="C444" s="1" t="s">
        <v>498</v>
      </c>
      <c r="D444" s="1" t="s">
        <v>499</v>
      </c>
      <c r="E444" s="1" t="s">
        <v>171</v>
      </c>
      <c r="F444" s="1">
        <v>59425</v>
      </c>
      <c r="G444" s="1" t="s">
        <v>500</v>
      </c>
      <c r="H444" s="77"/>
      <c r="I444" s="77">
        <v>4915784119271</v>
      </c>
    </row>
    <row r="445" spans="8:9" ht="12.75">
      <c r="H445" s="77"/>
      <c r="I445" s="77"/>
    </row>
    <row r="446" spans="2:9" ht="12.75">
      <c r="B446"/>
      <c r="C446"/>
      <c r="H446" s="77"/>
      <c r="I446" s="77"/>
    </row>
    <row r="447" spans="8:9" ht="12.75">
      <c r="H447" s="77"/>
      <c r="I447" s="77"/>
    </row>
    <row r="448" spans="8:9" ht="12.75">
      <c r="H448" s="77"/>
      <c r="I448" s="77"/>
    </row>
    <row r="449" spans="8:9" ht="12.75">
      <c r="H449" s="77"/>
      <c r="I449" s="77"/>
    </row>
    <row r="450" spans="8:9" ht="12.75">
      <c r="H450" s="77"/>
      <c r="I450" s="77"/>
    </row>
    <row r="451" spans="8:9" ht="12.75">
      <c r="H451" s="77"/>
      <c r="I451" s="77"/>
    </row>
    <row r="452" spans="8:9" ht="12.75">
      <c r="H452" s="77"/>
      <c r="I452" s="77"/>
    </row>
    <row r="453" spans="8:9" ht="12.75">
      <c r="H453" s="77"/>
      <c r="I453" s="77"/>
    </row>
    <row r="454" spans="8:9" ht="12.75">
      <c r="H454" s="77"/>
      <c r="I454" s="77"/>
    </row>
    <row r="455" spans="8:9" ht="12.75">
      <c r="H455" s="77"/>
      <c r="I455" s="77"/>
    </row>
    <row r="456" spans="8:9" ht="12.75">
      <c r="H456" s="77"/>
      <c r="I456" s="77"/>
    </row>
    <row r="457" spans="8:9" ht="12.75">
      <c r="H457" s="77"/>
      <c r="I457" s="77"/>
    </row>
    <row r="458" spans="8:9" ht="12.75">
      <c r="H458" s="77"/>
      <c r="I458" s="77"/>
    </row>
    <row r="459" spans="8:9" ht="12.75">
      <c r="H459" s="77"/>
      <c r="I459" s="77"/>
    </row>
    <row r="460" spans="8:9" ht="12.75">
      <c r="H460" s="77"/>
      <c r="I460" s="77"/>
    </row>
    <row r="461" spans="8:9" ht="12.75">
      <c r="H461" s="77"/>
      <c r="I461" s="77"/>
    </row>
    <row r="462" spans="8:9" ht="12.75">
      <c r="H462" s="77"/>
      <c r="I462" s="77"/>
    </row>
    <row r="463" spans="8:9" ht="12.75">
      <c r="H463" s="77"/>
      <c r="I463" s="77"/>
    </row>
    <row r="464" spans="8:9" ht="12.75">
      <c r="H464" s="77"/>
      <c r="I464" s="77"/>
    </row>
    <row r="465" spans="8:9" ht="12.75">
      <c r="H465" s="77"/>
      <c r="I465" s="77"/>
    </row>
    <row r="466" spans="8:9" ht="12.75">
      <c r="H466" s="77"/>
      <c r="I466" s="77"/>
    </row>
    <row r="467" spans="8:9" ht="12.75">
      <c r="H467" s="77"/>
      <c r="I467" s="77"/>
    </row>
    <row r="468" spans="8:9" ht="12.75">
      <c r="H468" s="77"/>
      <c r="I468" s="77"/>
    </row>
    <row r="469" spans="8:9" ht="12.75">
      <c r="H469" s="77"/>
      <c r="I469" s="77"/>
    </row>
    <row r="470" spans="8:9" ht="12.75">
      <c r="H470" s="77"/>
      <c r="I470" s="77"/>
    </row>
    <row r="471" spans="8:9" ht="12.75">
      <c r="H471" s="77"/>
      <c r="I471" s="77"/>
    </row>
    <row r="472" spans="8:9" ht="12.75">
      <c r="H472" s="77"/>
      <c r="I472" s="77"/>
    </row>
    <row r="473" spans="8:9" ht="12.75">
      <c r="H473" s="77"/>
      <c r="I473" s="77"/>
    </row>
    <row r="474" spans="8:9" ht="12.75">
      <c r="H474" s="77"/>
      <c r="I474" s="77"/>
    </row>
    <row r="475" spans="8:9" ht="12.75">
      <c r="H475" s="77"/>
      <c r="I475" s="77"/>
    </row>
    <row r="476" spans="8:9" ht="12.75">
      <c r="H476" s="77"/>
      <c r="I476" s="77"/>
    </row>
    <row r="477" spans="8:9" ht="12.75">
      <c r="H477" s="77"/>
      <c r="I477" s="77"/>
    </row>
    <row r="478" spans="8:9" ht="12.75">
      <c r="H478" s="77"/>
      <c r="I478" s="77"/>
    </row>
    <row r="479" spans="8:9" ht="12.75">
      <c r="H479" s="77"/>
      <c r="I479" s="77"/>
    </row>
    <row r="480" spans="8:9" ht="12.75">
      <c r="H480" s="77"/>
      <c r="I480" s="77"/>
    </row>
    <row r="481" spans="8:9" ht="12.75">
      <c r="H481" s="77"/>
      <c r="I481" s="77"/>
    </row>
    <row r="482" spans="8:9" ht="12.75">
      <c r="H482" s="77"/>
      <c r="I482" s="77"/>
    </row>
    <row r="483" spans="8:9" ht="12.75">
      <c r="H483" s="77"/>
      <c r="I483" s="77"/>
    </row>
    <row r="484" spans="8:9" ht="12.75">
      <c r="H484" s="77"/>
      <c r="I484" s="77"/>
    </row>
    <row r="485" spans="8:9" ht="12.75">
      <c r="H485" s="77"/>
      <c r="I485" s="77"/>
    </row>
    <row r="486" spans="8:9" ht="12.75">
      <c r="H486" s="77"/>
      <c r="I486" s="77"/>
    </row>
    <row r="487" ht="12.75">
      <c r="I487" s="77"/>
    </row>
    <row r="488" ht="12.75">
      <c r="I488" s="77"/>
    </row>
    <row r="489" ht="12.75">
      <c r="I489" s="77"/>
    </row>
    <row r="490" ht="12.75">
      <c r="I490" s="77"/>
    </row>
    <row r="491" ht="12.75">
      <c r="I491" s="77"/>
    </row>
    <row r="492" ht="12.75">
      <c r="I492" s="77"/>
    </row>
    <row r="493" ht="12.75">
      <c r="I493" s="77"/>
    </row>
    <row r="494" ht="12.75">
      <c r="I494" s="77"/>
    </row>
    <row r="495" ht="12.75">
      <c r="I495" s="77"/>
    </row>
    <row r="496" ht="12.75">
      <c r="I496" s="77"/>
    </row>
    <row r="497" ht="12.75">
      <c r="I497" s="77"/>
    </row>
    <row r="498" ht="12.75">
      <c r="I498" s="77"/>
    </row>
    <row r="499" ht="12.75">
      <c r="I499" s="77"/>
    </row>
    <row r="500" ht="12.75">
      <c r="I500" s="77"/>
    </row>
    <row r="501" ht="12.75">
      <c r="I501" s="77"/>
    </row>
    <row r="502" ht="12.75">
      <c r="I502" s="77"/>
    </row>
    <row r="503" ht="12.75">
      <c r="I503" s="77"/>
    </row>
    <row r="504" ht="12.75">
      <c r="I504" s="77"/>
    </row>
    <row r="505" ht="12.75">
      <c r="I505" s="77"/>
    </row>
    <row r="506" ht="12.75">
      <c r="I506" s="77"/>
    </row>
    <row r="507" ht="12.75">
      <c r="I507" s="77"/>
    </row>
    <row r="508" ht="12.75">
      <c r="I508" s="77"/>
    </row>
    <row r="509" ht="12.75">
      <c r="I509" s="77"/>
    </row>
    <row r="510" ht="12.75">
      <c r="I510" s="77"/>
    </row>
  </sheetData>
  <sheetProtection selectLockedCells="1" selectUnlockedCells="1"/>
  <hyperlinks>
    <hyperlink ref="K370" r:id="rId1" display="brigitte.dierig@gmx.de "/>
    <hyperlink ref="K371" r:id="rId2" display="victoria.trenner@gmx.de   "/>
    <hyperlink ref="K372" r:id="rId3" display="info@beton-trenn.de "/>
    <hyperlink ref="K373" r:id="rId4" display="gbbarbara035@gmail.com "/>
    <hyperlink ref="K374" r:id="rId5" display="kerstin.deuber@schneckenhof-bamberg.de"/>
    <hyperlink ref="W374" r:id="rId6" display="amy.deuber@gmx.de"/>
    <hyperlink ref="K375" r:id="rId7" display="gilbert.diller@web.de "/>
    <hyperlink ref="K376" r:id="rId8" display="info@tronicomsystems24.de "/>
    <hyperlink ref="K377" r:id="rId9" display="ruc57@gmx.de "/>
    <hyperlink ref="K378" r:id="rId10" display="roberthassfurther1@gmail.com   "/>
    <hyperlink ref="L378" r:id="rId11" display="Robert-bmw335@web.de  "/>
    <hyperlink ref="W379" r:id="rId12" display="steffani2005@gmx.de "/>
    <hyperlink ref="K381" r:id="rId13" display="info@ontrack.com "/>
    <hyperlink ref="K382" r:id="rId14" display="contact@aklamio.com "/>
    <hyperlink ref="K383" r:id="rId15" display="chrisheub@web.de   "/>
    <hyperlink ref="K384" r:id="rId16" display="helakiel@gmx.de "/>
    <hyperlink ref="K385" r:id="rId17" display="ellertaler-pflegedienst@t-online.de  "/>
    <hyperlink ref="K386" r:id="rId18" display="gemeinde@memmelsdorf.de "/>
    <hyperlink ref="L386" r:id="rId19" display="schneider@memmelsdorf.de "/>
    <hyperlink ref="K387" r:id="rId20" display="peter@pflaum-home.de"/>
    <hyperlink ref="K389" r:id="rId21" display="info@das-bunte-chamaeleon.de"/>
    <hyperlink ref="N389" r:id="rId22" display="www.das-bunte-chamaeleon.de"/>
    <hyperlink ref="K390" r:id="rId23" display="siggi.einwich58@freenet.de"/>
    <hyperlink ref="K391" r:id="rId24" display="Henry.Bleier@kabelmail.de"/>
    <hyperlink ref="K393" r:id="rId25" display="luisewinkler6@gmail.com"/>
    <hyperlink ref="K396" r:id="rId26" display="ferdinand.bohnsack@icloud.com"/>
    <hyperlink ref="K397" r:id="rId27" display="hh.gropp@outlook.de"/>
    <hyperlink ref="K398" r:id="rId28" display="gschregle@gmail.com"/>
    <hyperlink ref="K399" r:id="rId29" display="collin2011@live.de"/>
    <hyperlink ref="K400" r:id="rId30" display="karl.mooser@t-online.de"/>
    <hyperlink ref="K401" r:id="rId31" display="info@fotostudio-sattler.de"/>
    <hyperlink ref="N401" r:id="rId32" display="www.fotostudio-sattler.de"/>
    <hyperlink ref="K402" r:id="rId33" display="pfefferdreh@t-online.de"/>
    <hyperlink ref="K403" r:id="rId34" display="denisdelauney@yahoo.de"/>
    <hyperlink ref="K404" r:id="rId35" display="TanjaHei@web.de"/>
    <hyperlink ref="K405" r:id="rId36" display="karlgriechenbaum@t-online.de"/>
    <hyperlink ref="K407" r:id="rId37" display="m17do@outlook.de"/>
    <hyperlink ref="K409" r:id="rId38" display="contact@justdice.io"/>
    <hyperlink ref="L409" r:id="rId39" display="payouts@justdice.io"/>
    <hyperlink ref="K410" r:id="rId40" display="erich-endres@gmx.de"/>
    <hyperlink ref="K411" r:id="rId41" display="dima.janssen@t-online.de"/>
    <hyperlink ref="K412" r:id="rId42" display="christianekeil33@googlemail.com"/>
    <hyperlink ref="K413" r:id="rId43" display="CarmenKoerner@web.de"/>
    <hyperlink ref="K414" r:id="rId44" display="weiss_bamberg@hotmail.com"/>
    <hyperlink ref="K415" r:id="rId45" display="bernard.einwich@t-online.de"/>
    <hyperlink ref="K416" r:id="rId46" display="dr.volkerdesch@web.de"/>
    <hyperlink ref="K417" r:id="rId47" display="deschrosemarie21@gmail.com"/>
    <hyperlink ref="K418" r:id="rId48" display="paula09@freenet.de"/>
    <hyperlink ref="K419" r:id="rId49" display="service@movi-bayern.de"/>
    <hyperlink ref="K420" r:id="rId50" display="henningbartz87@gmail.com"/>
    <hyperlink ref="K421" r:id="rId51" display="sonjabichler@aol.com"/>
    <hyperlink ref="K422" r:id="rId52" display="info@bella-pizza-asia.de"/>
    <hyperlink ref="K423" r:id="rId53" display="heussnorbert@gmail.com"/>
    <hyperlink ref="K424" r:id="rId54" display="markus_g@gmx.de"/>
    <hyperlink ref="K425" r:id="rId55" display="kontakt@virtuelleassistenz-steffibackhaus.de"/>
    <hyperlink ref="K426" r:id="rId56" display="kamran.qasimli512@gmail.com"/>
    <hyperlink ref="K427" r:id="rId57" display="b.englbauer@web.de"/>
    <hyperlink ref="L427" r:id="rId58" display="info@be-office.de"/>
    <hyperlink ref="N427" r:id="rId59" display="http://www.be-office.de"/>
    <hyperlink ref="K429" r:id="rId60" display="Loran.r@web.de"/>
    <hyperlink ref="K430" r:id="rId61" display="o.schneider21@web.de"/>
    <hyperlink ref="K431" r:id="rId62" display="wolfrobert3@t-online.de"/>
    <hyperlink ref="K432" r:id="rId63" display="info@sanitaer-heizung-spindler.de"/>
    <hyperlink ref="K433" r:id="rId64" display="ronny.tuttor@web.de"/>
  </hyperlinks>
  <printOptions gridLines="1"/>
  <pageMargins left="0.7479166666666667" right="0.7479166666666667" top="0.9840277777777777" bottom="0.9840277777777777" header="0.5118055555555555" footer="0"/>
  <pageSetup horizontalDpi="300" verticalDpi="300" orientation="landscape" paperSize="9"/>
  <headerFooter alignWithMargins="0">
    <oddFooter>&amp;C&amp;10Seite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85">
      <selection activeCell="D104" sqref="D104"/>
    </sheetView>
  </sheetViews>
  <sheetFormatPr defaultColWidth="9.77734375" defaultRowHeight="15"/>
  <cols>
    <col min="1" max="1" width="9.6640625" style="1" customWidth="1"/>
    <col min="2" max="2" width="57.21484375" style="1" customWidth="1"/>
    <col min="3" max="3" width="6.88671875" style="1" customWidth="1"/>
    <col min="4" max="4" width="15.88671875" style="1" customWidth="1"/>
    <col min="5" max="5" width="15.77734375" style="1" customWidth="1"/>
    <col min="6" max="16384" width="9.6640625" style="1" customWidth="1"/>
  </cols>
  <sheetData>
    <row r="1" s="30" customFormat="1" ht="12.75">
      <c r="B1" s="31" t="s">
        <v>87</v>
      </c>
    </row>
    <row r="2" spans="2:3" s="30" customFormat="1" ht="12.75">
      <c r="B2" s="32" t="s">
        <v>88</v>
      </c>
      <c r="C2" s="30">
        <v>2023</v>
      </c>
    </row>
    <row r="3" s="30" customFormat="1" ht="12.75"/>
    <row r="4" s="30" customFormat="1" ht="12.75"/>
    <row r="5" s="30" customFormat="1" ht="12.75">
      <c r="B5" s="30" t="s">
        <v>501</v>
      </c>
    </row>
    <row r="6" s="30" customFormat="1" ht="12.75"/>
    <row r="7" spans="2:5" s="30" customFormat="1" ht="12.75">
      <c r="B7" s="33" t="s">
        <v>502</v>
      </c>
      <c r="C7" s="30" t="s">
        <v>503</v>
      </c>
      <c r="D7" s="116"/>
      <c r="E7" s="117">
        <f ca="1">TODAY()</f>
        <v>45312</v>
      </c>
    </row>
    <row r="8" s="30" customFormat="1" ht="12.75"/>
    <row r="9" ht="12.75">
      <c r="B9" s="118" t="s">
        <v>504</v>
      </c>
    </row>
    <row r="11" spans="2:5" ht="12.75">
      <c r="B11" s="1" t="s">
        <v>505</v>
      </c>
      <c r="C11" s="1" t="s">
        <v>506</v>
      </c>
      <c r="D11" s="1" t="s">
        <v>507</v>
      </c>
      <c r="E11" s="1" t="s">
        <v>508</v>
      </c>
    </row>
    <row r="13" spans="2:5" ht="12.75">
      <c r="B13" s="45"/>
      <c r="D13" s="47"/>
      <c r="E13" s="119">
        <f>C13*D13</f>
        <v>0</v>
      </c>
    </row>
    <row r="14" spans="2:5" ht="12.75">
      <c r="B14" s="45"/>
      <c r="D14" s="120"/>
      <c r="E14" s="119">
        <f>C14*D14</f>
        <v>0</v>
      </c>
    </row>
    <row r="15" spans="2:5" ht="12.75">
      <c r="B15" s="45"/>
      <c r="D15" s="120"/>
      <c r="E15" s="119">
        <f>C15*D15</f>
        <v>0</v>
      </c>
    </row>
    <row r="16" spans="2:5" ht="12.75">
      <c r="B16" s="45"/>
      <c r="D16" s="120"/>
      <c r="E16" s="119">
        <f>C16*D16</f>
        <v>0</v>
      </c>
    </row>
    <row r="17" spans="2:5" ht="12.75">
      <c r="B17" s="45"/>
      <c r="D17" s="47"/>
      <c r="E17" s="119">
        <f>C17*D17</f>
        <v>0</v>
      </c>
    </row>
    <row r="18" spans="2:5" ht="12.75">
      <c r="B18" s="45"/>
      <c r="D18" s="47"/>
      <c r="E18" s="119">
        <f>C18*D18</f>
        <v>0</v>
      </c>
    </row>
    <row r="19" spans="2:5" ht="12.75">
      <c r="B19" s="45"/>
      <c r="D19" s="47"/>
      <c r="E19" s="119">
        <f>C19*D19</f>
        <v>0</v>
      </c>
    </row>
    <row r="20" spans="2:5" ht="12.75">
      <c r="B20" s="45"/>
      <c r="D20" s="47"/>
      <c r="E20" s="119">
        <f>C20*D20</f>
        <v>0</v>
      </c>
    </row>
    <row r="21" spans="2:5" ht="12.75">
      <c r="B21" s="45"/>
      <c r="D21" s="47"/>
      <c r="E21" s="119">
        <f>C21*D21</f>
        <v>0</v>
      </c>
    </row>
    <row r="22" spans="2:5" ht="12.75">
      <c r="B22" s="45"/>
      <c r="D22" s="47"/>
      <c r="E22" s="119">
        <f>C22*D22</f>
        <v>0</v>
      </c>
    </row>
    <row r="23" spans="2:5" ht="12.75">
      <c r="B23" s="45"/>
      <c r="D23" s="47"/>
      <c r="E23" s="119">
        <f>C23*D23</f>
        <v>0</v>
      </c>
    </row>
    <row r="24" spans="2:5" ht="12.75">
      <c r="B24" s="45"/>
      <c r="D24" s="47"/>
      <c r="E24" s="119">
        <f>C24*D24</f>
        <v>0</v>
      </c>
    </row>
    <row r="25" spans="2:5" ht="12.75">
      <c r="B25" s="45"/>
      <c r="D25" s="47"/>
      <c r="E25" s="119">
        <f>C25*D25</f>
        <v>0</v>
      </c>
    </row>
    <row r="26" spans="2:5" ht="12.75">
      <c r="B26" s="45"/>
      <c r="D26" s="47"/>
      <c r="E26" s="119">
        <f>C26*D26</f>
        <v>0</v>
      </c>
    </row>
    <row r="27" spans="2:5" ht="12.75">
      <c r="B27" s="45"/>
      <c r="D27" s="47"/>
      <c r="E27" s="119">
        <f>C27*D27</f>
        <v>0</v>
      </c>
    </row>
    <row r="28" spans="2:5" ht="12.75">
      <c r="B28" s="45"/>
      <c r="D28" s="47"/>
      <c r="E28" s="119">
        <f>C28*D28</f>
        <v>0</v>
      </c>
    </row>
    <row r="29" spans="2:5" ht="12.75">
      <c r="B29" s="45"/>
      <c r="D29" s="47"/>
      <c r="E29" s="119">
        <f>C29*D29</f>
        <v>0</v>
      </c>
    </row>
    <row r="30" spans="2:5" ht="12.75">
      <c r="B30" s="45"/>
      <c r="D30" s="47"/>
      <c r="E30" s="119">
        <f>C30*D30</f>
        <v>0</v>
      </c>
    </row>
    <row r="31" spans="2:5" ht="12.75">
      <c r="B31" s="121"/>
      <c r="D31" s="47"/>
      <c r="E31" s="119">
        <f>C31*D31</f>
        <v>0</v>
      </c>
    </row>
    <row r="32" spans="2:5" ht="12.75">
      <c r="B32" s="121"/>
      <c r="D32" s="47"/>
      <c r="E32" s="119">
        <f>C32*D32</f>
        <v>0</v>
      </c>
    </row>
    <row r="33" spans="2:5" ht="12.75">
      <c r="B33" s="121"/>
      <c r="D33" s="47"/>
      <c r="E33" s="119">
        <f>C33*D33</f>
        <v>0</v>
      </c>
    </row>
    <row r="34" spans="2:5" ht="12.75">
      <c r="B34" s="121"/>
      <c r="D34" s="47"/>
      <c r="E34" s="119">
        <f>C34*D34</f>
        <v>0</v>
      </c>
    </row>
    <row r="35" spans="2:5" ht="12.75">
      <c r="B35" s="121"/>
      <c r="D35" s="47"/>
      <c r="E35" s="119">
        <f>C35*D35</f>
        <v>0</v>
      </c>
    </row>
    <row r="36" spans="2:5" ht="12.75">
      <c r="B36" s="121"/>
      <c r="D36" s="47"/>
      <c r="E36" s="119">
        <f>C36*D36</f>
        <v>0</v>
      </c>
    </row>
    <row r="37" spans="2:5" ht="12.75">
      <c r="B37" s="121"/>
      <c r="D37" s="47"/>
      <c r="E37" s="119">
        <f>C37*D37</f>
        <v>0</v>
      </c>
    </row>
    <row r="38" spans="2:5" ht="12.75">
      <c r="B38" s="121"/>
      <c r="D38" s="47"/>
      <c r="E38" s="119">
        <f>C38*D38</f>
        <v>0</v>
      </c>
    </row>
    <row r="39" spans="2:5" ht="12.75">
      <c r="B39" s="45"/>
      <c r="D39" s="47"/>
      <c r="E39" s="119">
        <f>C39*D39</f>
        <v>0</v>
      </c>
    </row>
    <row r="40" spans="2:5" ht="12.75">
      <c r="B40" s="45"/>
      <c r="D40" s="47"/>
      <c r="E40" s="119">
        <f>C40*D40</f>
        <v>0</v>
      </c>
    </row>
    <row r="41" spans="2:5" ht="12.75">
      <c r="B41" s="45"/>
      <c r="D41" s="47"/>
      <c r="E41" s="119">
        <f>C41*D41</f>
        <v>0</v>
      </c>
    </row>
    <row r="42" spans="2:5" ht="12.75">
      <c r="B42" s="45"/>
      <c r="D42" s="47"/>
      <c r="E42" s="119">
        <f>C42*D42</f>
        <v>0</v>
      </c>
    </row>
    <row r="43" spans="2:5" ht="12.75">
      <c r="B43" s="45"/>
      <c r="D43" s="47"/>
      <c r="E43" s="119">
        <f>C43*D43</f>
        <v>0</v>
      </c>
    </row>
    <row r="44" spans="2:5" ht="12.75">
      <c r="B44" s="45"/>
      <c r="D44" s="47"/>
      <c r="E44" s="119">
        <f>C44*D44</f>
        <v>0</v>
      </c>
    </row>
    <row r="45" spans="2:5" ht="12.75">
      <c r="B45" s="45"/>
      <c r="D45" s="47"/>
      <c r="E45" s="119">
        <f>C45*D45</f>
        <v>0</v>
      </c>
    </row>
    <row r="46" spans="2:5" ht="12.75">
      <c r="B46" s="45"/>
      <c r="D46" s="47"/>
      <c r="E46" s="119">
        <f>C46*D46</f>
        <v>0</v>
      </c>
    </row>
    <row r="47" spans="2:5" ht="12.75">
      <c r="B47" s="45"/>
      <c r="D47" s="47"/>
      <c r="E47" s="119">
        <f>C47*D47</f>
        <v>0</v>
      </c>
    </row>
    <row r="48" spans="2:5" ht="12.75">
      <c r="B48" s="45"/>
      <c r="D48" s="47"/>
      <c r="E48" s="119">
        <f>C48*D48</f>
        <v>0</v>
      </c>
    </row>
    <row r="49" spans="2:5" ht="12.75">
      <c r="B49" s="45"/>
      <c r="D49" s="47"/>
      <c r="E49" s="119">
        <f>C49*D49</f>
        <v>0</v>
      </c>
    </row>
    <row r="50" spans="2:5" ht="12.75">
      <c r="B50" s="45"/>
      <c r="D50" s="47"/>
      <c r="E50" s="119">
        <f>C50*D50</f>
        <v>0</v>
      </c>
    </row>
    <row r="51" spans="2:5" ht="12.75">
      <c r="B51" s="45"/>
      <c r="D51" s="47"/>
      <c r="E51" s="119">
        <f>C51*D51</f>
        <v>0</v>
      </c>
    </row>
    <row r="52" spans="2:5" ht="12.75">
      <c r="B52" s="45"/>
      <c r="D52" s="47"/>
      <c r="E52" s="119">
        <f>C52*D52</f>
        <v>0</v>
      </c>
    </row>
    <row r="53" spans="2:5" ht="12.75">
      <c r="B53" s="45"/>
      <c r="D53" s="47"/>
      <c r="E53" s="119">
        <f>C53*D53</f>
        <v>0</v>
      </c>
    </row>
    <row r="54" spans="2:5" ht="12.75">
      <c r="B54" s="122"/>
      <c r="D54" s="47"/>
      <c r="E54" s="119">
        <f>C54*D54</f>
        <v>0</v>
      </c>
    </row>
    <row r="55" spans="2:5" ht="12.75">
      <c r="B55" s="45"/>
      <c r="D55" s="47"/>
      <c r="E55" s="119">
        <f>C55*D55</f>
        <v>0</v>
      </c>
    </row>
    <row r="56" spans="2:5" ht="12.75">
      <c r="B56" s="121"/>
      <c r="D56" s="47"/>
      <c r="E56" s="119">
        <f>C56*D56</f>
        <v>0</v>
      </c>
    </row>
    <row r="57" spans="2:5" ht="12.75">
      <c r="B57" s="121"/>
      <c r="D57" s="47"/>
      <c r="E57" s="119">
        <f>C57*D57</f>
        <v>0</v>
      </c>
    </row>
    <row r="58" spans="2:5" ht="12.75">
      <c r="B58" s="121"/>
      <c r="D58" s="47"/>
      <c r="E58" s="119">
        <f>C58*D58</f>
        <v>0</v>
      </c>
    </row>
    <row r="59" spans="2:5" ht="12.75">
      <c r="B59" s="121"/>
      <c r="D59" s="47"/>
      <c r="E59" s="119">
        <f>C59*D59</f>
        <v>0</v>
      </c>
    </row>
    <row r="60" spans="2:5" ht="12.75">
      <c r="B60" s="121"/>
      <c r="D60" s="47"/>
      <c r="E60" s="119">
        <f>C60*D60</f>
        <v>0</v>
      </c>
    </row>
    <row r="61" spans="2:5" ht="12.75">
      <c r="B61" s="45"/>
      <c r="D61" s="47"/>
      <c r="E61" s="119">
        <f>C61*D61</f>
        <v>0</v>
      </c>
    </row>
    <row r="62" spans="2:5" ht="12.75">
      <c r="B62" s="45"/>
      <c r="D62" s="47"/>
      <c r="E62" s="119">
        <f>C62*D62</f>
        <v>0</v>
      </c>
    </row>
    <row r="63" spans="2:5" ht="12.75">
      <c r="B63" s="45"/>
      <c r="D63" s="47"/>
      <c r="E63" s="119">
        <f>C63*D63</f>
        <v>0</v>
      </c>
    </row>
    <row r="65" spans="2:5" ht="12.75">
      <c r="B65" s="123" t="s">
        <v>509</v>
      </c>
      <c r="C65" s="124"/>
      <c r="D65" s="124"/>
      <c r="E65" s="125">
        <f>SUM(E13:E63)</f>
        <v>0</v>
      </c>
    </row>
    <row r="68" ht="12.75">
      <c r="B68" s="118" t="s">
        <v>510</v>
      </c>
    </row>
    <row r="70" spans="2:5" ht="12.75">
      <c r="B70" s="1" t="s">
        <v>505</v>
      </c>
      <c r="C70" s="1" t="s">
        <v>506</v>
      </c>
      <c r="D70" s="1" t="s">
        <v>507</v>
      </c>
      <c r="E70" s="1" t="s">
        <v>508</v>
      </c>
    </row>
    <row r="72" ht="12.75">
      <c r="B72" s="126"/>
    </row>
    <row r="74" spans="2:5" ht="12.75">
      <c r="B74" s="45"/>
      <c r="E74" s="119">
        <f>C74*D74</f>
        <v>0</v>
      </c>
    </row>
    <row r="75" spans="2:5" ht="12.75">
      <c r="B75" s="45"/>
      <c r="E75" s="119">
        <f>C75*D75</f>
        <v>0</v>
      </c>
    </row>
    <row r="76" spans="2:5" ht="12.75">
      <c r="B76" s="45"/>
      <c r="E76" s="119">
        <f>C76*D76</f>
        <v>0</v>
      </c>
    </row>
    <row r="77" spans="2:5" ht="12.75">
      <c r="B77" s="45"/>
      <c r="E77" s="119">
        <f>C77*D77</f>
        <v>0</v>
      </c>
    </row>
    <row r="78" spans="2:5" ht="12.75">
      <c r="B78" s="45"/>
      <c r="E78" s="119">
        <f>C78*D78</f>
        <v>0</v>
      </c>
    </row>
    <row r="79" spans="2:5" ht="12.75">
      <c r="B79" s="122"/>
      <c r="E79" s="119">
        <f>C79*D79</f>
        <v>0</v>
      </c>
    </row>
    <row r="80" spans="2:5" ht="12.75">
      <c r="B80" s="45"/>
      <c r="E80" s="119">
        <f>C80*D80</f>
        <v>0</v>
      </c>
    </row>
    <row r="81" spans="2:5" ht="12.75">
      <c r="B81" s="45"/>
      <c r="E81" s="119">
        <f>C81*D81</f>
        <v>0</v>
      </c>
    </row>
    <row r="82" spans="2:5" ht="12.75">
      <c r="B82" s="45"/>
      <c r="E82" s="119">
        <f>C82*D82</f>
        <v>0</v>
      </c>
    </row>
    <row r="83" spans="2:5" ht="12.75">
      <c r="B83" s="45"/>
      <c r="E83" s="119">
        <f>C83*D83</f>
        <v>0</v>
      </c>
    </row>
    <row r="84" spans="2:5" ht="12.75">
      <c r="B84" s="45"/>
      <c r="E84" s="119">
        <f>C84*D84</f>
        <v>0</v>
      </c>
    </row>
    <row r="85" spans="2:5" ht="12.75">
      <c r="B85" s="45"/>
      <c r="E85" s="119">
        <f>C85*D85</f>
        <v>0</v>
      </c>
    </row>
    <row r="86" spans="2:5" ht="12.75">
      <c r="B86" s="45"/>
      <c r="E86" s="119">
        <f>C86*D86</f>
        <v>0</v>
      </c>
    </row>
    <row r="87" spans="2:5" ht="12.75">
      <c r="B87" s="45"/>
      <c r="E87" s="119">
        <f>C87*D87</f>
        <v>0</v>
      </c>
    </row>
    <row r="88" spans="2:5" ht="12.75">
      <c r="B88" s="45"/>
      <c r="E88" s="119">
        <f>C88*D88</f>
        <v>0</v>
      </c>
    </row>
    <row r="90" spans="2:5" ht="12.75">
      <c r="B90" s="123" t="s">
        <v>509</v>
      </c>
      <c r="C90" s="124"/>
      <c r="D90" s="124"/>
      <c r="E90" s="125">
        <f>SUM(E74:E88)</f>
        <v>0</v>
      </c>
    </row>
    <row r="92" spans="2:5" ht="12.75">
      <c r="B92" s="123" t="s">
        <v>511</v>
      </c>
      <c r="C92" s="124"/>
      <c r="D92" s="124"/>
      <c r="E92" s="125">
        <f>E65+E90</f>
        <v>0</v>
      </c>
    </row>
    <row r="105" ht="12.75">
      <c r="A105" s="17" t="s">
        <v>32</v>
      </c>
    </row>
    <row r="106" ht="12.75">
      <c r="A106" s="17" t="s">
        <v>33</v>
      </c>
    </row>
    <row r="107" ht="12.75">
      <c r="A107" s="1" t="s">
        <v>34</v>
      </c>
    </row>
    <row r="108" ht="12.75">
      <c r="A108" s="1" t="s">
        <v>35</v>
      </c>
    </row>
    <row r="109" ht="12.75">
      <c r="A109" s="1" t="s">
        <v>48</v>
      </c>
    </row>
    <row r="110" ht="12.75">
      <c r="A110" s="17" t="s">
        <v>37</v>
      </c>
    </row>
    <row r="112" ht="12.75">
      <c r="A112" s="17" t="s">
        <v>38</v>
      </c>
    </row>
    <row r="113" ht="12.75">
      <c r="A113" s="1" t="s">
        <v>39</v>
      </c>
    </row>
    <row r="114" ht="12.75">
      <c r="A114" s="1" t="s">
        <v>40</v>
      </c>
    </row>
    <row r="115" ht="12.75">
      <c r="A115" s="1" t="s">
        <v>49</v>
      </c>
    </row>
    <row r="116" ht="12.75">
      <c r="A116" s="17" t="s">
        <v>42</v>
      </c>
    </row>
    <row r="118" spans="1:4" ht="12.75">
      <c r="A118"/>
      <c r="B118" s="18" t="s">
        <v>43</v>
      </c>
      <c r="C118" s="18"/>
      <c r="D118" s="18"/>
    </row>
    <row r="119" spans="1:4" ht="12.75">
      <c r="A119"/>
      <c r="B119" s="19" t="s">
        <v>44</v>
      </c>
      <c r="C119" s="19"/>
      <c r="D119" s="19"/>
    </row>
    <row r="120" spans="1:4" ht="12.75">
      <c r="A120"/>
      <c r="B120" s="20">
        <v>4917621008967</v>
      </c>
      <c r="C120" s="20"/>
      <c r="D120" s="20"/>
    </row>
    <row r="122" ht="12.75">
      <c r="B122" s="21" t="s">
        <v>45</v>
      </c>
    </row>
  </sheetData>
  <sheetProtection selectLockedCells="1" selectUnlockedCells="1"/>
  <mergeCells count="3">
    <mergeCell ref="B118:D118"/>
    <mergeCell ref="B119:D119"/>
    <mergeCell ref="B120:D120"/>
  </mergeCells>
  <hyperlinks>
    <hyperlink ref="B119" r:id="rId1" display="office@arminfischer.com"/>
    <hyperlink ref="B122" r:id="rId2" display="http://Computerservice.arminfischer.com"/>
  </hyperlinks>
  <printOptions gridLines="1"/>
  <pageMargins left="0.7479166666666667" right="0.7479166666666667" top="0.9840277777777777" bottom="0.9840277777777777" header="0.5118055555555555" footer="0"/>
  <pageSetup horizontalDpi="300" verticalDpi="300" orientation="landscape" paperSize="9"/>
  <headerFooter alignWithMargins="0">
    <oddFooter>&amp;C&amp;10Seite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67">
      <selection activeCell="A86" sqref="A86"/>
    </sheetView>
  </sheetViews>
  <sheetFormatPr defaultColWidth="9.77734375" defaultRowHeight="15"/>
  <cols>
    <col min="1" max="1" width="5.4453125" style="1" customWidth="1"/>
    <col min="2" max="2" width="11.10546875" style="1" customWidth="1"/>
    <col min="3" max="3" width="52.3359375" style="1" customWidth="1"/>
    <col min="4" max="4" width="47.77734375" style="1" customWidth="1"/>
    <col min="5" max="5" width="9.6640625" style="1" customWidth="1"/>
    <col min="6" max="6" width="13.77734375" style="1" customWidth="1"/>
    <col min="7" max="7" width="15.3359375" style="1" customWidth="1"/>
    <col min="8" max="16384" width="9.6640625" style="1" customWidth="1"/>
  </cols>
  <sheetData>
    <row r="1" s="30" customFormat="1" ht="12.75">
      <c r="C1" s="31" t="s">
        <v>87</v>
      </c>
    </row>
    <row r="2" spans="3:4" s="30" customFormat="1" ht="12.75">
      <c r="C2" s="32" t="s">
        <v>88</v>
      </c>
      <c r="D2" s="30">
        <v>2020</v>
      </c>
    </row>
    <row r="3" s="30" customFormat="1" ht="12.75"/>
    <row r="4" s="30" customFormat="1" ht="12.75"/>
    <row r="5" s="30" customFormat="1" ht="12.75">
      <c r="B5" s="30" t="s">
        <v>501</v>
      </c>
    </row>
    <row r="6" s="30" customFormat="1" ht="12.75"/>
    <row r="7" spans="3:6" s="30" customFormat="1" ht="12.75">
      <c r="C7" s="33" t="s">
        <v>512</v>
      </c>
      <c r="D7" s="30" t="s">
        <v>503</v>
      </c>
      <c r="E7" s="116"/>
      <c r="F7" s="127">
        <v>41650</v>
      </c>
    </row>
    <row r="9" spans="2:7" ht="12.75">
      <c r="B9" s="126" t="s">
        <v>90</v>
      </c>
      <c r="C9" s="126" t="s">
        <v>513</v>
      </c>
      <c r="D9" s="126" t="s">
        <v>514</v>
      </c>
      <c r="E9" s="126" t="s">
        <v>506</v>
      </c>
      <c r="F9" s="126" t="s">
        <v>507</v>
      </c>
      <c r="G9" s="126" t="s">
        <v>508</v>
      </c>
    </row>
    <row r="11" ht="12.75">
      <c r="C11" s="128" t="s">
        <v>502</v>
      </c>
    </row>
    <row r="12" spans="2:7" ht="12.75">
      <c r="B12" s="121"/>
      <c r="C12" s="129"/>
      <c r="D12" s="124"/>
      <c r="E12" s="124"/>
      <c r="F12" s="124"/>
      <c r="G12" s="130"/>
    </row>
    <row r="16" ht="12.75">
      <c r="C16" s="128" t="s">
        <v>515</v>
      </c>
    </row>
    <row r="17" spans="2:7" ht="12.75">
      <c r="B17" s="4"/>
      <c r="C17" s="121"/>
      <c r="G17" s="119">
        <f>E17*F17</f>
        <v>0</v>
      </c>
    </row>
    <row r="18" spans="2:7" ht="12.75">
      <c r="B18" s="4"/>
      <c r="C18" s="121"/>
      <c r="G18" s="119">
        <f>E18*F18</f>
        <v>0</v>
      </c>
    </row>
    <row r="19" spans="2:7" ht="12.75">
      <c r="B19" s="4"/>
      <c r="C19" s="121"/>
      <c r="G19" s="119">
        <f>E19*F19</f>
        <v>0</v>
      </c>
    </row>
    <row r="20" spans="2:7" ht="12.75">
      <c r="B20" s="4"/>
      <c r="C20" s="121"/>
      <c r="G20" s="119">
        <f>E20*F20</f>
        <v>0</v>
      </c>
    </row>
    <row r="21" spans="2:7" ht="12.75">
      <c r="B21" s="4"/>
      <c r="C21" s="121"/>
      <c r="G21" s="119">
        <f>E21*F21</f>
        <v>0</v>
      </c>
    </row>
    <row r="22" spans="2:7" ht="12.75">
      <c r="B22" s="4"/>
      <c r="C22" s="121"/>
      <c r="G22" s="119">
        <f>E22*F22</f>
        <v>0</v>
      </c>
    </row>
    <row r="23" spans="2:7" ht="12.75">
      <c r="B23" s="4"/>
      <c r="C23" s="121"/>
      <c r="G23" s="119">
        <f>E23*F23</f>
        <v>0</v>
      </c>
    </row>
    <row r="24" spans="2:7" ht="12.75">
      <c r="B24" s="4"/>
      <c r="C24" s="121"/>
      <c r="G24" s="119">
        <f>E24*F24</f>
        <v>0</v>
      </c>
    </row>
    <row r="25" spans="2:7" ht="12.75">
      <c r="B25" s="4"/>
      <c r="C25" s="121"/>
      <c r="G25" s="119">
        <f>E25*F25</f>
        <v>0</v>
      </c>
    </row>
    <row r="26" spans="2:7" ht="12.75">
      <c r="B26" s="4"/>
      <c r="C26" s="121"/>
      <c r="G26" s="119">
        <f>E26*F26</f>
        <v>0</v>
      </c>
    </row>
    <row r="27" spans="2:7" ht="12.75">
      <c r="B27" s="4"/>
      <c r="C27" s="121"/>
      <c r="G27" s="119">
        <f>E27*F27</f>
        <v>0</v>
      </c>
    </row>
    <row r="28" spans="2:7" ht="12.75">
      <c r="B28" s="4"/>
      <c r="C28" s="121"/>
      <c r="G28" s="119">
        <f>E28*F28</f>
        <v>0</v>
      </c>
    </row>
    <row r="29" spans="2:7" ht="12.75">
      <c r="B29" s="4"/>
      <c r="C29" s="121"/>
      <c r="G29" s="119">
        <f>E29*F29</f>
        <v>0</v>
      </c>
    </row>
    <row r="30" spans="2:7" ht="12.75">
      <c r="B30" s="4"/>
      <c r="C30" s="121"/>
      <c r="G30" s="119">
        <f>E30*F30</f>
        <v>0</v>
      </c>
    </row>
    <row r="31" spans="2:7" ht="12.75">
      <c r="B31" s="4"/>
      <c r="C31" s="121"/>
      <c r="G31" s="119">
        <f>E31*F31</f>
        <v>0</v>
      </c>
    </row>
    <row r="32" spans="2:7" ht="12.75">
      <c r="B32" s="4"/>
      <c r="C32" s="121"/>
      <c r="G32" s="119">
        <f>E32*F32</f>
        <v>0</v>
      </c>
    </row>
    <row r="33" spans="2:7" ht="12.75">
      <c r="B33" s="4"/>
      <c r="C33" s="121"/>
      <c r="G33" s="119">
        <f>E33*F33</f>
        <v>0</v>
      </c>
    </row>
    <row r="34" spans="2:7" ht="12.75">
      <c r="B34" s="4"/>
      <c r="C34" s="121"/>
      <c r="G34" s="119">
        <f>E34*F34</f>
        <v>0</v>
      </c>
    </row>
    <row r="35" spans="2:7" ht="12.75">
      <c r="B35" s="4"/>
      <c r="C35" s="121"/>
      <c r="G35" s="119">
        <f>E35*F35</f>
        <v>0</v>
      </c>
    </row>
    <row r="36" spans="2:7" ht="12.75">
      <c r="B36" s="4"/>
      <c r="C36" s="121"/>
      <c r="G36" s="119">
        <f>E36*F36</f>
        <v>0</v>
      </c>
    </row>
    <row r="37" spans="2:7" ht="12.75">
      <c r="B37" s="4"/>
      <c r="C37" s="121"/>
      <c r="G37" s="119">
        <f>E37*F37</f>
        <v>0</v>
      </c>
    </row>
    <row r="38" spans="2:7" ht="12.75">
      <c r="B38" s="4"/>
      <c r="C38" s="121"/>
      <c r="G38" s="119">
        <f>E38*F38</f>
        <v>0</v>
      </c>
    </row>
    <row r="39" spans="3:7" ht="12.75">
      <c r="C39" s="121"/>
      <c r="G39" s="119">
        <f>E39*F39</f>
        <v>0</v>
      </c>
    </row>
    <row r="40" spans="3:7" ht="12.75">
      <c r="C40" s="121"/>
      <c r="G40" s="119">
        <f>E40*F40</f>
        <v>0</v>
      </c>
    </row>
    <row r="41" spans="3:7" ht="12.75">
      <c r="C41" s="121"/>
      <c r="G41" s="119">
        <f>E41*F41</f>
        <v>0</v>
      </c>
    </row>
    <row r="43" spans="2:8" ht="12.75">
      <c r="B43" s="123"/>
      <c r="C43" s="124" t="s">
        <v>516</v>
      </c>
      <c r="D43" s="124"/>
      <c r="E43" s="124"/>
      <c r="F43" s="124"/>
      <c r="G43" s="124">
        <f>SUM(G17:G41)</f>
        <v>0</v>
      </c>
      <c r="H43" s="125"/>
    </row>
    <row r="47" ht="12.75">
      <c r="C47" s="128" t="s">
        <v>517</v>
      </c>
    </row>
    <row r="48" spans="2:7" ht="12.75">
      <c r="B48" s="4"/>
      <c r="C48" s="121"/>
      <c r="G48" s="119">
        <f>E48*F48</f>
        <v>0</v>
      </c>
    </row>
    <row r="49" spans="2:7" ht="12.75">
      <c r="B49" s="4"/>
      <c r="C49" s="121"/>
      <c r="G49" s="119">
        <f>E49*F49</f>
        <v>0</v>
      </c>
    </row>
    <row r="50" spans="2:7" ht="12.75">
      <c r="B50" s="4"/>
      <c r="C50" s="121"/>
      <c r="G50" s="119">
        <f>E50*F50</f>
        <v>0</v>
      </c>
    </row>
    <row r="51" spans="2:7" ht="12.75">
      <c r="B51" s="4"/>
      <c r="C51" s="121"/>
      <c r="G51" s="119">
        <f>E51*F51</f>
        <v>0</v>
      </c>
    </row>
    <row r="52" spans="2:7" ht="12.75">
      <c r="B52" s="4"/>
      <c r="C52" s="121"/>
      <c r="G52" s="119">
        <f>E52*F52</f>
        <v>0</v>
      </c>
    </row>
    <row r="53" spans="2:7" ht="12.75">
      <c r="B53" s="4"/>
      <c r="C53" s="121"/>
      <c r="G53" s="119">
        <f>E53*F53</f>
        <v>0</v>
      </c>
    </row>
    <row r="54" spans="2:7" ht="12.75">
      <c r="B54" s="4"/>
      <c r="C54" s="121"/>
      <c r="G54" s="119">
        <f>E54*F54</f>
        <v>0</v>
      </c>
    </row>
    <row r="55" spans="2:7" ht="12.75">
      <c r="B55" s="4"/>
      <c r="C55" s="121"/>
      <c r="G55" s="119">
        <f>E55*F55</f>
        <v>0</v>
      </c>
    </row>
    <row r="56" spans="2:7" ht="12.75">
      <c r="B56" s="4"/>
      <c r="C56" s="121"/>
      <c r="G56" s="119">
        <f>E56*F56</f>
        <v>0</v>
      </c>
    </row>
    <row r="57" spans="2:7" ht="12.75">
      <c r="B57" s="4"/>
      <c r="C57" s="121"/>
      <c r="G57" s="119">
        <f>E57*F57</f>
        <v>0</v>
      </c>
    </row>
    <row r="58" spans="2:7" ht="12.75">
      <c r="B58" s="4"/>
      <c r="C58" s="121"/>
      <c r="G58" s="119">
        <f>E58*F58</f>
        <v>0</v>
      </c>
    </row>
    <row r="59" spans="2:7" ht="12.75">
      <c r="B59" s="4"/>
      <c r="C59" s="121"/>
      <c r="G59" s="119">
        <f>E59*F59</f>
        <v>0</v>
      </c>
    </row>
    <row r="60" spans="2:7" ht="12.75">
      <c r="B60" s="4"/>
      <c r="C60" s="121"/>
      <c r="G60" s="119">
        <f>E60*F60</f>
        <v>0</v>
      </c>
    </row>
    <row r="61" spans="2:7" ht="12.75">
      <c r="B61" s="4"/>
      <c r="C61" s="121"/>
      <c r="G61" s="119">
        <f>E61*F61</f>
        <v>0</v>
      </c>
    </row>
    <row r="62" spans="2:7" ht="12.75">
      <c r="B62" s="4"/>
      <c r="C62" s="121"/>
      <c r="G62" s="119">
        <f>E62*F62</f>
        <v>0</v>
      </c>
    </row>
    <row r="63" spans="2:7" ht="12.75">
      <c r="B63" s="4"/>
      <c r="C63" s="121"/>
      <c r="G63" s="119">
        <f>E63*F63</f>
        <v>0</v>
      </c>
    </row>
    <row r="64" spans="2:7" ht="12.75">
      <c r="B64" s="4"/>
      <c r="C64" s="121"/>
      <c r="G64" s="119">
        <f>E64*F64</f>
        <v>0</v>
      </c>
    </row>
    <row r="65" spans="2:7" ht="12.75">
      <c r="B65" s="4"/>
      <c r="C65" s="121"/>
      <c r="G65" s="119">
        <f>E65*F65</f>
        <v>0</v>
      </c>
    </row>
    <row r="67" spans="2:8" ht="12.75">
      <c r="B67" s="123"/>
      <c r="C67" s="124" t="s">
        <v>518</v>
      </c>
      <c r="D67" s="124"/>
      <c r="E67" s="124"/>
      <c r="F67" s="124"/>
      <c r="G67" s="124">
        <f>SUM(G48:G65)</f>
        <v>0</v>
      </c>
      <c r="H67" s="125"/>
    </row>
    <row r="70" spans="2:8" ht="12.75">
      <c r="B70" s="123"/>
      <c r="C70" s="131" t="s">
        <v>519</v>
      </c>
      <c r="D70" s="124"/>
      <c r="E70" s="124"/>
      <c r="F70" s="124"/>
      <c r="G70" s="131">
        <f>G12+G43-G67</f>
        <v>0</v>
      </c>
      <c r="H70" s="125"/>
    </row>
    <row r="86" ht="12.75">
      <c r="A86" s="17" t="s">
        <v>32</v>
      </c>
    </row>
    <row r="87" ht="12.75">
      <c r="A87" s="17" t="s">
        <v>33</v>
      </c>
    </row>
    <row r="88" ht="12.75">
      <c r="A88" s="1" t="s">
        <v>34</v>
      </c>
    </row>
    <row r="89" ht="12.75">
      <c r="A89" s="1" t="s">
        <v>35</v>
      </c>
    </row>
    <row r="90" ht="12.75">
      <c r="A90" s="1" t="s">
        <v>48</v>
      </c>
    </row>
    <row r="91" ht="12.75">
      <c r="A91" s="17" t="s">
        <v>37</v>
      </c>
    </row>
    <row r="93" ht="12.75">
      <c r="A93" s="17" t="s">
        <v>38</v>
      </c>
    </row>
    <row r="94" ht="12.75">
      <c r="A94" s="1" t="s">
        <v>39</v>
      </c>
    </row>
    <row r="95" ht="12.75">
      <c r="A95" s="1" t="s">
        <v>40</v>
      </c>
    </row>
    <row r="96" ht="12.75">
      <c r="A96" s="1" t="s">
        <v>49</v>
      </c>
    </row>
    <row r="97" ht="12.75">
      <c r="A97" s="17" t="s">
        <v>42</v>
      </c>
    </row>
    <row r="99" spans="1:4" ht="12.75">
      <c r="A99"/>
      <c r="B99" s="18" t="s">
        <v>43</v>
      </c>
      <c r="C99" s="18"/>
      <c r="D99" s="18"/>
    </row>
    <row r="100" spans="1:4" ht="12.75">
      <c r="A100"/>
      <c r="B100" s="19" t="s">
        <v>44</v>
      </c>
      <c r="C100" s="19"/>
      <c r="D100" s="19"/>
    </row>
    <row r="101" spans="1:4" ht="12.75">
      <c r="A101"/>
      <c r="B101" s="20">
        <v>4917621008967</v>
      </c>
      <c r="C101" s="20"/>
      <c r="D101" s="20"/>
    </row>
    <row r="103" ht="12.75">
      <c r="B103" s="21" t="s">
        <v>45</v>
      </c>
    </row>
  </sheetData>
  <sheetProtection selectLockedCells="1" selectUnlockedCells="1"/>
  <mergeCells count="3">
    <mergeCell ref="B99:D99"/>
    <mergeCell ref="B100:D100"/>
    <mergeCell ref="B101:D101"/>
  </mergeCells>
  <hyperlinks>
    <hyperlink ref="B100" r:id="rId1" display="office@arminfischer.com"/>
    <hyperlink ref="B103" r:id="rId2" display="http://Computerservice.arminfischer.com"/>
  </hyperlinks>
  <printOptions gridLines="1"/>
  <pageMargins left="0.7479166666666667" right="0.7479166666666667" top="0.9840277777777777" bottom="0.9840277777777777" header="0.5118055555555555" footer="0"/>
  <pageSetup horizontalDpi="300" verticalDpi="300" orientation="landscape" paperSize="9"/>
  <headerFooter alignWithMargins="0">
    <oddFooter>&amp;C&amp;10Seite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20963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Armin Fischer</cp:lastModifiedBy>
  <dcterms:modified xsi:type="dcterms:W3CDTF">2024-01-21T12:23:31Z</dcterms:modified>
  <cp:category/>
  <cp:version/>
  <cp:contentType/>
  <cp:contentStatus/>
  <cp:revision>574</cp:revision>
</cp:coreProperties>
</file>